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490" windowHeight="7905"/>
  </bookViews>
  <sheets>
    <sheet name="Table 1" sheetId="1" r:id="rId1"/>
  </sheets>
  <calcPr calcId="125725"/>
</workbook>
</file>

<file path=xl/calcChain.xml><?xml version="1.0" encoding="utf-8"?>
<calcChain xmlns="http://schemas.openxmlformats.org/spreadsheetml/2006/main">
  <c r="N192" i="1"/>
  <c r="N174"/>
  <c r="K180"/>
  <c r="N180" s="1"/>
  <c r="K179"/>
  <c r="N179" s="1"/>
  <c r="K181"/>
  <c r="K328"/>
  <c r="K207"/>
  <c r="N207" s="1"/>
  <c r="K201"/>
  <c r="N201" s="1"/>
  <c r="K200"/>
  <c r="N200" s="1"/>
  <c r="K199"/>
  <c r="N199" s="1"/>
  <c r="K198"/>
  <c r="N198" s="1"/>
  <c r="K197"/>
  <c r="N197" s="1"/>
  <c r="K196"/>
  <c r="N196" s="1"/>
  <c r="I12" l="1"/>
  <c r="N328" l="1"/>
  <c r="K208"/>
  <c r="N208" s="1"/>
  <c r="K194"/>
  <c r="N194" s="1"/>
  <c r="K195"/>
  <c r="N195" s="1"/>
  <c r="K193"/>
  <c r="N193" s="1"/>
  <c r="K184"/>
  <c r="N184" s="1"/>
  <c r="K175"/>
  <c r="N175" s="1"/>
  <c r="I169"/>
  <c r="K169" s="1"/>
  <c r="N169" s="1"/>
  <c r="I170"/>
  <c r="K170" s="1"/>
  <c r="N170" s="1"/>
  <c r="I171"/>
  <c r="K171" s="1"/>
  <c r="N171" s="1"/>
  <c r="I172"/>
  <c r="K172" s="1"/>
  <c r="N172" s="1"/>
  <c r="I168"/>
  <c r="K168" s="1"/>
  <c r="N168" s="1"/>
  <c r="K161"/>
  <c r="N161" s="1"/>
  <c r="K158"/>
  <c r="N158" s="1"/>
  <c r="K157"/>
  <c r="N157" s="1"/>
  <c r="I148"/>
  <c r="K148" s="1"/>
  <c r="N148" s="1"/>
  <c r="I139"/>
  <c r="K139" s="1"/>
  <c r="N139" s="1"/>
  <c r="I140"/>
  <c r="K140" s="1"/>
  <c r="N140" s="1"/>
  <c r="I141"/>
  <c r="K141" s="1"/>
  <c r="N141" s="1"/>
  <c r="I142"/>
  <c r="K142" s="1"/>
  <c r="N142" s="1"/>
  <c r="I143"/>
  <c r="K143" s="1"/>
  <c r="N143" s="1"/>
  <c r="I144"/>
  <c r="K144" s="1"/>
  <c r="N144" s="1"/>
  <c r="I145"/>
  <c r="K145" s="1"/>
  <c r="N145" s="1"/>
  <c r="I138"/>
  <c r="K138" s="1"/>
  <c r="N138" s="1"/>
  <c r="I137"/>
  <c r="K137" s="1"/>
  <c r="N137" s="1"/>
  <c r="I132"/>
  <c r="K132" s="1"/>
  <c r="N132" s="1"/>
  <c r="I133"/>
  <c r="K133" s="1"/>
  <c r="N133" s="1"/>
  <c r="I134"/>
  <c r="K134" s="1"/>
  <c r="N134" s="1"/>
  <c r="I131"/>
  <c r="K131" s="1"/>
  <c r="N131" s="1"/>
  <c r="I122"/>
  <c r="K122" s="1"/>
  <c r="N122" s="1"/>
  <c r="I123"/>
  <c r="K123" s="1"/>
  <c r="N123" s="1"/>
  <c r="I124"/>
  <c r="K124" s="1"/>
  <c r="N124" s="1"/>
  <c r="I125"/>
  <c r="K125" s="1"/>
  <c r="N125" s="1"/>
  <c r="I126"/>
  <c r="K126" s="1"/>
  <c r="N126" s="1"/>
  <c r="I127"/>
  <c r="K127" s="1"/>
  <c r="N127" s="1"/>
  <c r="I128"/>
  <c r="K128" s="1"/>
  <c r="N128" s="1"/>
  <c r="I121"/>
  <c r="K121" s="1"/>
  <c r="N121" s="1"/>
  <c r="I118"/>
  <c r="K118" s="1"/>
  <c r="N118" s="1"/>
  <c r="I119"/>
  <c r="K119" s="1"/>
  <c r="N119" s="1"/>
  <c r="I117"/>
  <c r="K117" s="1"/>
  <c r="N117" s="1"/>
  <c r="I114"/>
  <c r="K114" s="1"/>
  <c r="N114" s="1"/>
  <c r="I115"/>
  <c r="K115" s="1"/>
  <c r="N115" s="1"/>
  <c r="I113"/>
  <c r="K113" s="1"/>
  <c r="N113" s="1"/>
  <c r="I103"/>
  <c r="K103" s="1"/>
  <c r="N103" s="1"/>
  <c r="I104"/>
  <c r="K104" s="1"/>
  <c r="N104" s="1"/>
  <c r="I105"/>
  <c r="K105" s="1"/>
  <c r="N105" s="1"/>
  <c r="I106"/>
  <c r="K106" s="1"/>
  <c r="N106" s="1"/>
  <c r="I107"/>
  <c r="K107" s="1"/>
  <c r="N107" s="1"/>
  <c r="I108"/>
  <c r="K108" s="1"/>
  <c r="N108" s="1"/>
  <c r="I109"/>
  <c r="K109" s="1"/>
  <c r="N109" s="1"/>
  <c r="I110"/>
  <c r="K110" s="1"/>
  <c r="N110" s="1"/>
  <c r="I102"/>
  <c r="K102" s="1"/>
  <c r="N102" s="1"/>
  <c r="I98"/>
  <c r="K98" s="1"/>
  <c r="N98" s="1"/>
  <c r="I99"/>
  <c r="K99" s="1"/>
  <c r="N99" s="1"/>
  <c r="I100"/>
  <c r="K100" s="1"/>
  <c r="N100" s="1"/>
  <c r="I101"/>
  <c r="K101" s="1"/>
  <c r="N101" s="1"/>
  <c r="I97"/>
  <c r="K97" s="1"/>
  <c r="N97" s="1"/>
  <c r="I94"/>
  <c r="K94" s="1"/>
  <c r="N94" s="1"/>
  <c r="N93" s="1"/>
  <c r="I88"/>
  <c r="K88" s="1"/>
  <c r="N88" s="1"/>
  <c r="I89"/>
  <c r="K89" s="1"/>
  <c r="N89" s="1"/>
  <c r="I90"/>
  <c r="K90" s="1"/>
  <c r="N90" s="1"/>
  <c r="I91"/>
  <c r="K91" s="1"/>
  <c r="N91" s="1"/>
  <c r="I92"/>
  <c r="K92" s="1"/>
  <c r="N92" s="1"/>
  <c r="I87"/>
  <c r="K87" s="1"/>
  <c r="N87" s="1"/>
  <c r="I85"/>
  <c r="K85" s="1"/>
  <c r="N85" s="1"/>
  <c r="I81"/>
  <c r="K81" s="1"/>
  <c r="N81" s="1"/>
  <c r="I82"/>
  <c r="K82" s="1"/>
  <c r="N82" s="1"/>
  <c r="I83"/>
  <c r="K83" s="1"/>
  <c r="N83" s="1"/>
  <c r="I84"/>
  <c r="K84" s="1"/>
  <c r="N84" s="1"/>
  <c r="I80"/>
  <c r="K80" s="1"/>
  <c r="N80" s="1"/>
  <c r="I77"/>
  <c r="K77" s="1"/>
  <c r="N77" s="1"/>
  <c r="I76"/>
  <c r="K76" s="1"/>
  <c r="N76" s="1"/>
  <c r="I73"/>
  <c r="K73" s="1"/>
  <c r="N73" s="1"/>
  <c r="U73" s="1"/>
  <c r="I74"/>
  <c r="K74" s="1"/>
  <c r="N74" s="1"/>
  <c r="U74" s="1"/>
  <c r="I72"/>
  <c r="K72" s="1"/>
  <c r="N72" s="1"/>
  <c r="I69"/>
  <c r="K69" s="1"/>
  <c r="N69" s="1"/>
  <c r="U69" s="1"/>
  <c r="I67"/>
  <c r="K67" s="1"/>
  <c r="N67" s="1"/>
  <c r="U67" s="1"/>
  <c r="I68"/>
  <c r="K68" s="1"/>
  <c r="N68" s="1"/>
  <c r="U68" s="1"/>
  <c r="I66"/>
  <c r="K66" s="1"/>
  <c r="N66" s="1"/>
  <c r="I59"/>
  <c r="K59" s="1"/>
  <c r="N59" s="1"/>
  <c r="U59" s="1"/>
  <c r="I60"/>
  <c r="K60" s="1"/>
  <c r="N60" s="1"/>
  <c r="U60" s="1"/>
  <c r="I61"/>
  <c r="K61" s="1"/>
  <c r="N61" s="1"/>
  <c r="U61" s="1"/>
  <c r="I62"/>
  <c r="K62" s="1"/>
  <c r="N62" s="1"/>
  <c r="U62" s="1"/>
  <c r="I63"/>
  <c r="K63" s="1"/>
  <c r="N63" s="1"/>
  <c r="U63" s="1"/>
  <c r="I58"/>
  <c r="K58" s="1"/>
  <c r="N58" s="1"/>
  <c r="I53"/>
  <c r="K53" s="1"/>
  <c r="N53" s="1"/>
  <c r="U53" s="1"/>
  <c r="I54"/>
  <c r="K54" s="1"/>
  <c r="N54" s="1"/>
  <c r="U54" s="1"/>
  <c r="I55"/>
  <c r="K55" s="1"/>
  <c r="N55" s="1"/>
  <c r="U55" s="1"/>
  <c r="I52"/>
  <c r="K52" s="1"/>
  <c r="N52" s="1"/>
  <c r="U52" s="1"/>
  <c r="I51"/>
  <c r="K51" s="1"/>
  <c r="N51" s="1"/>
  <c r="I48"/>
  <c r="K48" s="1"/>
  <c r="N48" s="1"/>
  <c r="I44"/>
  <c r="K44" s="1"/>
  <c r="N44" s="1"/>
  <c r="U44" s="1"/>
  <c r="I45"/>
  <c r="K45" s="1"/>
  <c r="N45" s="1"/>
  <c r="U45" s="1"/>
  <c r="I46"/>
  <c r="K46" s="1"/>
  <c r="N46" s="1"/>
  <c r="U46" s="1"/>
  <c r="I43"/>
  <c r="K43" s="1"/>
  <c r="N43" s="1"/>
  <c r="I39"/>
  <c r="K39" s="1"/>
  <c r="N39" s="1"/>
  <c r="U39" s="1"/>
  <c r="I40"/>
  <c r="K40" s="1"/>
  <c r="N40" s="1"/>
  <c r="U40" s="1"/>
  <c r="I41"/>
  <c r="K41" s="1"/>
  <c r="N41" s="1"/>
  <c r="U41" s="1"/>
  <c r="I38"/>
  <c r="K38" s="1"/>
  <c r="N38" s="1"/>
  <c r="I35"/>
  <c r="K35" s="1"/>
  <c r="N35" s="1"/>
  <c r="I32"/>
  <c r="K32" s="1"/>
  <c r="N32" s="1"/>
  <c r="U32" s="1"/>
  <c r="I33"/>
  <c r="K33" s="1"/>
  <c r="N33" s="1"/>
  <c r="U33" s="1"/>
  <c r="I31"/>
  <c r="K31" s="1"/>
  <c r="N31" s="1"/>
  <c r="U31" s="1"/>
  <c r="I29"/>
  <c r="K29" s="1"/>
  <c r="N29" s="1"/>
  <c r="U29" s="1"/>
  <c r="I30"/>
  <c r="K30" s="1"/>
  <c r="N30" s="1"/>
  <c r="U30" s="1"/>
  <c r="I28"/>
  <c r="K28" s="1"/>
  <c r="N28" s="1"/>
  <c r="I20"/>
  <c r="K20" s="1"/>
  <c r="N20" s="1"/>
  <c r="U20" s="1"/>
  <c r="I21"/>
  <c r="K21" s="1"/>
  <c r="N21" s="1"/>
  <c r="U21" s="1"/>
  <c r="I22"/>
  <c r="K22" s="1"/>
  <c r="N22" s="1"/>
  <c r="U22" s="1"/>
  <c r="I23"/>
  <c r="K23" s="1"/>
  <c r="N23" s="1"/>
  <c r="U23" s="1"/>
  <c r="I24"/>
  <c r="K24" s="1"/>
  <c r="N24" s="1"/>
  <c r="U24" s="1"/>
  <c r="I25"/>
  <c r="K25" s="1"/>
  <c r="N25" s="1"/>
  <c r="U25" s="1"/>
  <c r="I26"/>
  <c r="K26" s="1"/>
  <c r="N26" s="1"/>
  <c r="U26" s="1"/>
  <c r="I19"/>
  <c r="K19" s="1"/>
  <c r="N19" s="1"/>
  <c r="I15"/>
  <c r="K15" s="1"/>
  <c r="N15" s="1"/>
  <c r="U15" s="1"/>
  <c r="I16"/>
  <c r="K16" s="1"/>
  <c r="I14"/>
  <c r="K14" s="1"/>
  <c r="N14" s="1"/>
  <c r="K12"/>
  <c r="N12" s="1"/>
  <c r="N112" l="1"/>
  <c r="U48"/>
  <c r="N47"/>
  <c r="U66"/>
  <c r="N65"/>
  <c r="G64" s="1"/>
  <c r="U19"/>
  <c r="N18"/>
  <c r="U28"/>
  <c r="N27"/>
  <c r="U51"/>
  <c r="N50"/>
  <c r="G49" s="1"/>
  <c r="N79"/>
  <c r="U38"/>
  <c r="N37"/>
  <c r="U72"/>
  <c r="N71"/>
  <c r="U14"/>
  <c r="U58"/>
  <c r="N57"/>
  <c r="G56" s="1"/>
  <c r="N96"/>
  <c r="G95" s="1"/>
  <c r="N120"/>
  <c r="N130"/>
  <c r="G129" s="1"/>
  <c r="N136"/>
  <c r="G135" s="1"/>
  <c r="U43"/>
  <c r="N42"/>
  <c r="N16"/>
  <c r="N13" s="1"/>
  <c r="U35"/>
  <c r="N34"/>
  <c r="U76"/>
  <c r="N75"/>
  <c r="N86"/>
  <c r="N116"/>
  <c r="G146"/>
  <c r="N147"/>
  <c r="U12"/>
  <c r="N11"/>
  <c r="Q304"/>
  <c r="N160"/>
  <c r="Q320"/>
  <c r="N156"/>
  <c r="G155" s="1"/>
  <c r="G326"/>
  <c r="Q326" s="1"/>
  <c r="N327"/>
  <c r="N167"/>
  <c r="G191"/>
  <c r="Q191" s="1"/>
  <c r="Q202"/>
  <c r="G173"/>
  <c r="Q173" s="1"/>
  <c r="N183"/>
  <c r="G182" s="1"/>
  <c r="Q182" s="1"/>
  <c r="Q309"/>
  <c r="G111" l="1"/>
  <c r="G159"/>
  <c r="Q159" s="1"/>
  <c r="U16"/>
  <c r="G70"/>
  <c r="G78"/>
  <c r="G17"/>
  <c r="G36"/>
  <c r="Q155"/>
  <c r="Q230"/>
  <c r="Q264"/>
  <c r="Q211"/>
  <c r="N154" l="1"/>
  <c r="G10"/>
  <c r="N9" l="1"/>
</calcChain>
</file>

<file path=xl/sharedStrings.xml><?xml version="1.0" encoding="utf-8"?>
<sst xmlns="http://schemas.openxmlformats.org/spreadsheetml/2006/main" count="788" uniqueCount="261">
  <si>
    <r>
      <rPr>
        <sz val="7"/>
        <rFont val="Arial"/>
        <family val="2"/>
      </rPr>
      <t xml:space="preserve">Grau de Sigilo
</t>
    </r>
    <r>
      <rPr>
        <b/>
        <sz val="7"/>
        <rFont val="Arial"/>
        <family val="2"/>
      </rPr>
      <t>#PUBLICO</t>
    </r>
  </si>
  <si>
    <r>
      <rPr>
        <b/>
        <sz val="7"/>
        <rFont val="Arial"/>
        <family val="2"/>
      </rPr>
      <t>Nº SICONV</t>
    </r>
  </si>
  <si>
    <r>
      <rPr>
        <b/>
        <sz val="7"/>
        <rFont val="Arial"/>
        <family val="2"/>
      </rPr>
      <t>LOCALIDADE SINAPI</t>
    </r>
  </si>
  <si>
    <r>
      <rPr>
        <b/>
        <sz val="7"/>
        <rFont val="Arial"/>
        <family val="2"/>
      </rPr>
      <t>DATA BASE</t>
    </r>
  </si>
  <si>
    <r>
      <rPr>
        <b/>
        <sz val="7"/>
        <rFont val="Arial"/>
        <family val="2"/>
      </rPr>
      <t>DESCRIÇÃO DO LOTE</t>
    </r>
  </si>
  <si>
    <r>
      <rPr>
        <b/>
        <sz val="7"/>
        <rFont val="Arial"/>
        <family val="2"/>
      </rPr>
      <t>MUNICÍPIO / UF                                                             BDI 1</t>
    </r>
  </si>
  <si>
    <r>
      <rPr>
        <b/>
        <sz val="7"/>
        <rFont val="Arial"/>
        <family val="2"/>
      </rPr>
      <t>BDI 2</t>
    </r>
  </si>
  <si>
    <r>
      <rPr>
        <b/>
        <sz val="7"/>
        <rFont val="Arial"/>
        <family val="2"/>
      </rPr>
      <t>BDI 3</t>
    </r>
  </si>
  <si>
    <r>
      <rPr>
        <sz val="7"/>
        <rFont val="Arial"/>
        <family val="2"/>
      </rPr>
      <t>BELO HORIZONTE</t>
    </r>
  </si>
  <si>
    <r>
      <rPr>
        <sz val="7"/>
        <rFont val="Arial"/>
        <family val="2"/>
      </rPr>
      <t>08-19 (DES.)</t>
    </r>
  </si>
  <si>
    <r>
      <rPr>
        <sz val="7"/>
        <rFont val="Arial"/>
        <family val="2"/>
      </rPr>
      <t>LARANJAL/MG                                                             26,68%</t>
    </r>
  </si>
  <si>
    <r>
      <rPr>
        <sz val="7"/>
        <rFont val="Arial"/>
        <family val="2"/>
      </rPr>
      <t>0,00%</t>
    </r>
  </si>
  <si>
    <r>
      <rPr>
        <b/>
        <sz val="7"/>
        <rFont val="Arial"/>
        <family val="2"/>
      </rPr>
      <t>Item</t>
    </r>
  </si>
  <si>
    <r>
      <rPr>
        <b/>
        <sz val="7"/>
        <rFont val="Arial"/>
        <family val="2"/>
      </rPr>
      <t>Fonte</t>
    </r>
  </si>
  <si>
    <r>
      <rPr>
        <b/>
        <sz val="7"/>
        <rFont val="Arial"/>
        <family val="2"/>
      </rPr>
      <t>Código</t>
    </r>
  </si>
  <si>
    <r>
      <rPr>
        <b/>
        <sz val="7"/>
        <rFont val="Arial"/>
        <family val="2"/>
      </rPr>
      <t>Descrição</t>
    </r>
  </si>
  <si>
    <r>
      <rPr>
        <b/>
        <sz val="7"/>
        <rFont val="Arial"/>
        <family val="2"/>
      </rPr>
      <t>Unidade</t>
    </r>
  </si>
  <si>
    <r>
      <rPr>
        <b/>
        <sz val="7"/>
        <rFont val="Arial"/>
        <family val="2"/>
      </rPr>
      <t>Quantidade</t>
    </r>
  </si>
  <si>
    <r>
      <rPr>
        <b/>
        <sz val="7"/>
        <rFont val="Arial"/>
        <family val="2"/>
      </rPr>
      <t>Custo Unitário (sem BDI) (R$)</t>
    </r>
  </si>
  <si>
    <r>
      <rPr>
        <b/>
        <sz val="7"/>
        <rFont val="Arial"/>
        <family val="2"/>
      </rPr>
      <t>BDI (%)</t>
    </r>
  </si>
  <si>
    <r>
      <rPr>
        <b/>
        <sz val="7"/>
        <rFont val="Arial"/>
        <family val="2"/>
      </rPr>
      <t>Preço Unitário (com BDI) (R$)</t>
    </r>
  </si>
  <si>
    <r>
      <rPr>
        <b/>
        <sz val="7"/>
        <rFont val="Arial"/>
        <family val="2"/>
      </rPr>
      <t>Preço Total (R$)</t>
    </r>
  </si>
  <si>
    <r>
      <rPr>
        <b/>
        <sz val="7"/>
        <rFont val="Arial"/>
        <family val="2"/>
      </rPr>
      <t>AMPLIAÇÃO DA UNIDADE DE SAÚDE DA FAMILIA DE SAPUCAIA</t>
    </r>
  </si>
  <si>
    <r>
      <rPr>
        <b/>
        <sz val="7"/>
        <rFont val="Arial"/>
        <family val="2"/>
      </rPr>
      <t>DEMOLIÇÕES, REMOÇÕES E RETIRADAS</t>
    </r>
  </si>
  <si>
    <r>
      <rPr>
        <b/>
        <sz val="7"/>
        <rFont val="Arial"/>
        <family val="2"/>
      </rPr>
      <t>-</t>
    </r>
  </si>
  <si>
    <r>
      <rPr>
        <b/>
        <sz val="7"/>
        <rFont val="Arial"/>
        <family val="2"/>
      </rPr>
      <t>REMOÇÕES E RETIRADAS</t>
    </r>
  </si>
  <si>
    <r>
      <rPr>
        <sz val="7"/>
        <rFont val="Arial"/>
        <family val="2"/>
      </rPr>
      <t>SINAPI</t>
    </r>
  </si>
  <si>
    <r>
      <rPr>
        <sz val="7"/>
        <rFont val="Arial"/>
        <family val="2"/>
      </rPr>
      <t>REMOÇÃO DE RAÍZES REMANESCENTES DE TRONCO DE ÁRVORE COM DIÂMETRO MAIOR OU IGUAL A 0,40 M E MENOR QUE 0,60 M.AF_05/2018</t>
    </r>
  </si>
  <si>
    <r>
      <rPr>
        <sz val="7"/>
        <rFont val="Arial"/>
        <family val="2"/>
      </rPr>
      <t>UN</t>
    </r>
  </si>
  <si>
    <r>
      <rPr>
        <sz val="7"/>
        <rFont val="Arial"/>
        <family val="2"/>
      </rPr>
      <t>BDI 1</t>
    </r>
  </si>
  <si>
    <r>
      <rPr>
        <sz val="7"/>
        <rFont val="Calibri"/>
        <family val="2"/>
      </rPr>
      <t>RA</t>
    </r>
  </si>
  <si>
    <r>
      <rPr>
        <b/>
        <sz val="7"/>
        <rFont val="Arial"/>
        <family val="2"/>
      </rPr>
      <t>DEMOLIÇÕES</t>
    </r>
  </si>
  <si>
    <r>
      <rPr>
        <sz val="7"/>
        <rFont val="Arial"/>
        <family val="2"/>
      </rPr>
      <t>DEMOLIÇÃO DE ALVENARIA DE BLOCO FURADO, DE FORMA MANUAL, SEM REAPROVEITAMENTO. AF_12/2017</t>
    </r>
  </si>
  <si>
    <r>
      <rPr>
        <sz val="7"/>
        <rFont val="Arial"/>
        <family val="2"/>
      </rPr>
      <t>M3</t>
    </r>
  </si>
  <si>
    <r>
      <rPr>
        <sz val="7"/>
        <rFont val="Arial"/>
        <family val="2"/>
      </rPr>
      <t>DEMOLIÇÃO DE ARGAMASSAS, DE FORMA MANUAL, SEM REAPROVEITAMENTO. AF_12/2017</t>
    </r>
  </si>
  <si>
    <r>
      <rPr>
        <sz val="7"/>
        <rFont val="Arial"/>
        <family val="2"/>
      </rPr>
      <t>M2</t>
    </r>
  </si>
  <si>
    <r>
      <rPr>
        <sz val="7"/>
        <rFont val="Arial"/>
        <family val="2"/>
      </rPr>
      <t>SETOP</t>
    </r>
  </si>
  <si>
    <r>
      <rPr>
        <sz val="7"/>
        <rFont val="Arial"/>
        <family val="2"/>
      </rPr>
      <t>DEM-CON-015</t>
    </r>
  </si>
  <si>
    <r>
      <rPr>
        <sz val="7"/>
        <rFont val="Arial"/>
        <family val="2"/>
      </rPr>
      <t>DEMOLIÇÃO DE CONCRETO SIMPLES - COM EQUIPAMENTO ELÉTRICO, INCLUSIVE AFASTAMENTO</t>
    </r>
  </si>
  <si>
    <r>
      <rPr>
        <b/>
        <sz val="7"/>
        <rFont val="Arial"/>
        <family val="2"/>
      </rPr>
      <t>INFRA-ESTRUTURA CONCRETO</t>
    </r>
  </si>
  <si>
    <r>
      <rPr>
        <b/>
        <sz val="7"/>
        <rFont val="Arial"/>
        <family val="2"/>
      </rPr>
      <t>SAPATAS</t>
    </r>
  </si>
  <si>
    <r>
      <rPr>
        <sz val="7"/>
        <rFont val="Arial"/>
        <family val="2"/>
      </rPr>
      <t>ESCAVAÇÃO MANUAL PARA BLOCO DE COROAMENTO OU SAPATA, COM PREVISÃO DE FÔRMA. AF_06/2017</t>
    </r>
  </si>
  <si>
    <r>
      <rPr>
        <sz val="7"/>
        <rFont val="Arial"/>
        <family val="2"/>
      </rPr>
      <t>TER-REG-005</t>
    </r>
  </si>
  <si>
    <r>
      <rPr>
        <sz val="7"/>
        <rFont val="Arial"/>
        <family val="2"/>
      </rPr>
      <t>REGULARIZAÇÃO E COMPACTAÇÃO DE TERRENO MANUAL, COM SOQUETE</t>
    </r>
  </si>
  <si>
    <r>
      <rPr>
        <sz val="7"/>
        <rFont val="Arial"/>
        <family val="2"/>
      </rPr>
      <t>CORTE E DOBRA DE AÇO CA-50, DIÂMETRO DE 8,0 MM, UTILIZADO EM ESTRUTURAS DIVERSAS, EXCETO LAJES. AF_12/2015</t>
    </r>
  </si>
  <si>
    <r>
      <rPr>
        <sz val="7"/>
        <rFont val="Arial"/>
        <family val="2"/>
      </rPr>
      <t>KG</t>
    </r>
  </si>
  <si>
    <r>
      <rPr>
        <sz val="7"/>
        <rFont val="Arial"/>
        <family val="2"/>
      </rPr>
      <t>CORTE E DOBRA DE AÇO CA-50, DIÂMETRO DE 10,0 MM, UTILIZADO EM ESTRUTURAS DIVERSAS, EXCETO LAJES. AF_12/2015</t>
    </r>
  </si>
  <si>
    <r>
      <rPr>
        <sz val="7"/>
        <rFont val="Arial"/>
        <family val="2"/>
      </rPr>
      <t>CORTE E DOBRA DE AÇO CA-60, DIÂMETRO DE 5,0 MM, UTILIZADO EM ESTRUTURAS DIVERSAS, EXCETO LAJES. AF_12/2015</t>
    </r>
  </si>
  <si>
    <r>
      <rPr>
        <sz val="7"/>
        <rFont val="Arial"/>
        <family val="2"/>
      </rPr>
      <t>FABRICAÇÃO, MONTAGEM E DESMONTAGEM DE FÔRMA PARA SAPATA, EM MADEIRA SERRADA, E=25 MM, 4 UTILIZAÇÕES. AF_06/2017</t>
    </r>
  </si>
  <si>
    <r>
      <rPr>
        <sz val="7"/>
        <rFont val="Arial"/>
        <family val="2"/>
      </rPr>
      <t xml:space="preserve">CONCRETO FCK = 25MPA, TRAÇO 1:2,3:2,7 (CIMENTO/ AREIA MÉDIA/ BRITA
</t>
    </r>
    <r>
      <rPr>
        <sz val="7"/>
        <rFont val="Arial"/>
        <family val="2"/>
      </rPr>
      <t>1)  - PREPARO MECÂNICO COM BETONEIRA 400 L. AF_07/2016</t>
    </r>
  </si>
  <si>
    <r>
      <rPr>
        <sz val="7"/>
        <rFont val="Arial"/>
        <family val="2"/>
      </rPr>
      <t>REATERRO MANUAL APILOADO COM SOQUETE. AF_10/2017</t>
    </r>
  </si>
  <si>
    <r>
      <rPr>
        <b/>
        <sz val="7"/>
        <rFont val="Arial"/>
        <family val="2"/>
      </rPr>
      <t>VIGAS BALDRAMES</t>
    </r>
  </si>
  <si>
    <r>
      <rPr>
        <sz val="7"/>
        <rFont val="Arial"/>
        <family val="2"/>
      </rPr>
      <t>ESCAVAÇÃO MANUAL DE VALA PARA VIGA BALDRAME, COM PREVISÃO DE FÔRMA. AF_06/2017</t>
    </r>
  </si>
  <si>
    <r>
      <rPr>
        <sz val="5"/>
        <rFont val="Calibri"/>
        <family val="2"/>
      </rPr>
      <t>↓</t>
    </r>
  </si>
  <si>
    <r>
      <rPr>
        <sz val="7"/>
        <rFont val="Arial"/>
        <family val="2"/>
      </rPr>
      <t>FABRICAÇÃO, MONTAGEM E DESMONTAGEM DE FÔRMA PARA VIGA BALDRAME, EM MADEIRA SERRADA, E=25 MM, 4 UTILIZAÇÕES. AF_06/2017</t>
    </r>
  </si>
  <si>
    <r>
      <rPr>
        <b/>
        <sz val="7"/>
        <rFont val="Arial"/>
        <family val="2"/>
      </rPr>
      <t>IMPERMEABILIZAÇÃO</t>
    </r>
  </si>
  <si>
    <r>
      <rPr>
        <sz val="7"/>
        <rFont val="Arial"/>
        <family val="2"/>
      </rPr>
      <t>74106/1</t>
    </r>
  </si>
  <si>
    <r>
      <rPr>
        <sz val="7"/>
        <rFont val="Arial"/>
        <family val="2"/>
      </rPr>
      <t>IMPERMEABILIZACAO DE ESTRUTURAS ENTERRADAS, COM TINTA ASFALTICA, DUAS DEMAOS.</t>
    </r>
  </si>
  <si>
    <r>
      <rPr>
        <b/>
        <sz val="7"/>
        <rFont val="Arial"/>
        <family val="2"/>
      </rPr>
      <t>SUPER-ESTRUTURA CONCRETO</t>
    </r>
  </si>
  <si>
    <r>
      <rPr>
        <b/>
        <sz val="7"/>
        <rFont val="Arial"/>
        <family val="2"/>
      </rPr>
      <t>PILARES</t>
    </r>
  </si>
  <si>
    <r>
      <rPr>
        <sz val="7"/>
        <rFont val="Arial"/>
        <family val="2"/>
      </rPr>
      <t>ED-8462</t>
    </r>
  </si>
  <si>
    <r>
      <rPr>
        <sz val="7"/>
        <rFont val="Arial"/>
        <family val="2"/>
      </rPr>
      <t>FORMA PARA PILAR DE MADEIRA COM TÁBUA E SARRAFO (FABRICAÇÃO)</t>
    </r>
  </si>
  <si>
    <r>
      <rPr>
        <b/>
        <sz val="7"/>
        <rFont val="Arial"/>
        <family val="2"/>
      </rPr>
      <t>VIGAS</t>
    </r>
  </si>
  <si>
    <r>
      <rPr>
        <sz val="7"/>
        <rFont val="Arial"/>
        <family val="2"/>
      </rPr>
      <t>ED-8460</t>
    </r>
  </si>
  <si>
    <r>
      <rPr>
        <sz val="7"/>
        <rFont val="Arial"/>
        <family val="2"/>
      </rPr>
      <t>FORMA E DESFORMA PARA VIGA DE MADEIRA COM TÁBUA E SARRAFO, REAPROVEITAMENTO (3X), EXCLUSIVE ESCORAMENTO</t>
    </r>
  </si>
  <si>
    <r>
      <rPr>
        <b/>
        <sz val="7"/>
        <rFont val="Arial"/>
        <family val="2"/>
      </rPr>
      <t>LAJES</t>
    </r>
  </si>
  <si>
    <r>
      <rPr>
        <sz val="7"/>
        <rFont val="Arial"/>
        <family val="2"/>
      </rPr>
      <t>SEE-EST-035</t>
    </r>
  </si>
  <si>
    <r>
      <rPr>
        <sz val="7"/>
        <rFont val="Arial"/>
        <family val="2"/>
      </rPr>
      <t>LAJE 10 CM MACIÇA DE CONCRETO 20 MPA, COM ARMAÇÃO, FORMA RESINADA, ESCORAMENTO E DESFORMA</t>
    </r>
  </si>
  <si>
    <r>
      <rPr>
        <b/>
        <sz val="7"/>
        <rFont val="Arial"/>
        <family val="2"/>
      </rPr>
      <t>ALVENARIAS DE TIJOLO CERÂMICO</t>
    </r>
  </si>
  <si>
    <r>
      <rPr>
        <b/>
        <sz val="7"/>
        <rFont val="Arial"/>
        <family val="2"/>
      </rPr>
      <t>ALVENARIAS</t>
    </r>
  </si>
  <si>
    <r>
      <rPr>
        <sz val="7"/>
        <rFont val="Arial"/>
        <family val="2"/>
      </rPr>
      <t>ALV-TIJ-025</t>
    </r>
  </si>
  <si>
    <r>
      <rPr>
        <sz val="7"/>
        <rFont val="Arial"/>
        <family val="2"/>
      </rPr>
      <t>ALVENARIA DE VEDAÇÃO COM TIJOLO CERÂMICO FURADO, ESP. 9CM, PARA REVESTIMENTO, INCLUSIVE ARGAMASSA PARA ASSENTAMENTO</t>
    </r>
  </si>
  <si>
    <r>
      <rPr>
        <sz val="7"/>
        <rFont val="Arial"/>
        <family val="2"/>
      </rPr>
      <t>ALV-TIJ-035</t>
    </r>
  </si>
  <si>
    <r>
      <rPr>
        <sz val="7"/>
        <rFont val="Arial"/>
        <family val="2"/>
      </rPr>
      <t>ALVENARIA DE VEDAÇÃO COM TIJOLO CERÂMICO FURADO, ESP. 19CM, PARA REVESTIMENTO, INCLUSIVE ARGAMASSA PARA ASSENTAMENTO</t>
    </r>
  </si>
  <si>
    <r>
      <rPr>
        <sz val="7"/>
        <rFont val="Arial"/>
        <family val="2"/>
      </rPr>
      <t>VERGA PRÉ-MOLDADA PARA JANELAS COM ATÉ 1,5 M DE VÃO. AF_03/2016</t>
    </r>
  </si>
  <si>
    <r>
      <rPr>
        <sz val="7"/>
        <rFont val="Arial"/>
        <family val="2"/>
      </rPr>
      <t>M</t>
    </r>
  </si>
  <si>
    <r>
      <rPr>
        <sz val="7"/>
        <rFont val="Arial"/>
        <family val="2"/>
      </rPr>
      <t>VERGA PRÉ-MOLDADA PARA PORTAS COM ATÉ 1,5 M DE VÃO. AF_03/2016</t>
    </r>
  </si>
  <si>
    <r>
      <rPr>
        <sz val="7"/>
        <rFont val="Arial"/>
        <family val="2"/>
      </rPr>
      <t>CONTRAVERGA PRÉ-MOLDADA PARA VÃOS DE ATÉ 1,5 M DE COMPRIMENTO. AF_03/2016</t>
    </r>
  </si>
  <si>
    <r>
      <rPr>
        <b/>
        <sz val="7"/>
        <rFont val="Arial"/>
        <family val="2"/>
      </rPr>
      <t>REDE DE DRENAGEM</t>
    </r>
  </si>
  <si>
    <r>
      <rPr>
        <sz val="7"/>
        <rFont val="Arial"/>
        <family val="2"/>
      </rPr>
      <t>DRE-TUB-020</t>
    </r>
  </si>
  <si>
    <r>
      <rPr>
        <sz val="7"/>
        <rFont val="Arial"/>
        <family val="2"/>
      </rPr>
      <t>FORNECIMENTO E ASSENTAMENTO DE TUBO PVC RÍGIDO, DRENAGEM/PLUVIAL, PBV - SÉRIE NORMAL, DN 150 MM (6"), INCLUSIVE CONEXÕES</t>
    </r>
  </si>
  <si>
    <r>
      <rPr>
        <sz val="7"/>
        <rFont val="Arial"/>
        <family val="2"/>
      </rPr>
      <t>TUBO PVC, SÉRIE R, ÁGUA PLUVIAL, DN 75 MM, FORNECIDO E INSTALADO EM CONDUTORES VERTICAIS DE ÁGUAS PLUVIAIS. AF_12/2014</t>
    </r>
  </si>
  <si>
    <r>
      <rPr>
        <sz val="7"/>
        <rFont val="Arial"/>
        <family val="2"/>
      </rPr>
      <t>HID-CXS-205</t>
    </r>
  </si>
  <si>
    <r>
      <rPr>
        <sz val="7"/>
        <rFont val="Arial"/>
        <family val="2"/>
      </rPr>
      <t>CAIXA ALVENARIA 60 X 60 X 80 CM, TAMPA EM GRELHA DE AÇO- PASSAGEM, INCLUSIVE ESCAVAÇÃO, REATERRO E BOTA-FORA</t>
    </r>
  </si>
  <si>
    <r>
      <rPr>
        <sz val="7"/>
        <rFont val="Arial"/>
        <family val="2"/>
      </rPr>
      <t>U</t>
    </r>
  </si>
  <si>
    <r>
      <rPr>
        <sz val="7"/>
        <rFont val="Arial"/>
        <family val="2"/>
      </rPr>
      <t>HID-CXS-200</t>
    </r>
  </si>
  <si>
    <r>
      <rPr>
        <sz val="7"/>
        <rFont val="Arial"/>
        <family val="2"/>
      </rPr>
      <t>CAIXA ALVENARIA 60 X 60 X 60 CM, TAMPA EM GRELHA DE AÇO- PASSAGEM, INCLUSIVE ESCAVAÇÃO, REATERRO E BOTA-FORA</t>
    </r>
  </si>
  <si>
    <r>
      <rPr>
        <sz val="7"/>
        <rFont val="Arial"/>
        <family val="2"/>
      </rPr>
      <t>OBR-VIA-075</t>
    </r>
  </si>
  <si>
    <r>
      <rPr>
        <sz val="7"/>
        <rFont val="Arial"/>
        <family val="2"/>
      </rPr>
      <t>ESCAVAÇÃO MANUAL DE VALAS EM SOLO, COM ALTURA DE 0 A 1,50 M</t>
    </r>
  </si>
  <si>
    <r>
      <rPr>
        <sz val="7"/>
        <rFont val="Arial"/>
        <family val="2"/>
      </rPr>
      <t>REATERRO MANUAL DE VALAS COM COMPACTAÇÃO MECANIZADA. AF_04/2016</t>
    </r>
  </si>
  <si>
    <r>
      <rPr>
        <b/>
        <sz val="7"/>
        <rFont val="Arial"/>
        <family val="2"/>
      </rPr>
      <t>REVESTIMENTO PAREDE</t>
    </r>
  </si>
  <si>
    <r>
      <rPr>
        <sz val="7"/>
        <rFont val="Arial"/>
        <family val="2"/>
      </rPr>
      <t>CHAPISCO APLICADO EM ALVENARIAS E ESTRUTURAS DE CONCRETO INTERNAS, COM COLHER DE PEDREIRO. ARGAMASSA TRAÇO 1:3 COM PREPARO MANUAL. AF_06/2014</t>
    </r>
  </si>
  <si>
    <r>
      <rPr>
        <sz val="7"/>
        <rFont val="Arial"/>
        <family val="2"/>
      </rPr>
      <t>EMBOÇO OU MASSA ÚNICA EM ARGAMASSA TRAÇO 1:2:8, PREPARO MANUAL, APLICADA MANUALMENTE EM PANOS DE FACHADA COM PRESENÇA DE VÃOS, ESPESSURA DE 25 MM. AF_06/2014</t>
    </r>
  </si>
  <si>
    <r>
      <rPr>
        <sz val="7"/>
        <rFont val="Arial"/>
        <family val="2"/>
      </rPr>
      <t>EMBOÇO, PARA RECEBIMENTO DE CERÂMICA, EM ARGAMASSA TRAÇO 1:2:8, PREPARO MANUAL, APLICADO MANUALMENTE EM FACES INTERNAS DE PAREDES, PARA AMBIENTE COM ÁREA  MAIOR QUE 10M2, ESPESSURA DE 20MM, COM EXECUÇÃO DE TALISCAS. AF_06/2014</t>
    </r>
  </si>
  <si>
    <r>
      <rPr>
        <sz val="7"/>
        <rFont val="Arial"/>
        <family val="2"/>
      </rPr>
      <t>REVESTIMENTO CERÂMICO PARA PAREDES INTERNAS COM PLACAS TIPO ESMALTADA PADRÃO POPULAR DE DIMENSÕES 20X20 CM, ARGAMASSA TIPO AC I, APLICADAS EM AMBIENTES DE ÁREA MAIOR QUE 5 M2 NA ALTURA INTEIRA DAS PAREDES. AF_06/2014</t>
    </r>
  </si>
  <si>
    <r>
      <rPr>
        <b/>
        <sz val="7"/>
        <rFont val="Arial"/>
        <family val="2"/>
      </rPr>
      <t>PAVIMENTAÇÃO</t>
    </r>
  </si>
  <si>
    <r>
      <rPr>
        <b/>
        <sz val="7"/>
        <rFont val="Arial"/>
        <family val="2"/>
      </rPr>
      <t>PISO CERÂMICO</t>
    </r>
  </si>
  <si>
    <r>
      <rPr>
        <sz val="7"/>
        <rFont val="Arial"/>
        <family val="2"/>
      </rPr>
      <t>CONTRAPISO EM ARGAMASSA TRAÇO 1:4 (CIMENTO E AREIA), PREPARO MANUAL, APLICADO EM ÁREAS SECAS SOBRE LAJE, NÃO ADERIDO, ESPESSURA 4CM. AF_06/2014</t>
    </r>
  </si>
  <si>
    <r>
      <rPr>
        <sz val="7"/>
        <rFont val="Arial"/>
        <family val="2"/>
      </rPr>
      <t>REVESTIMENTO CERÂMICO PARA PISO COM PLACAS TIPO ESMALTADA PADRÃO POPULAR DE DIMENSÕES 35X35 CM APLICADA EM AMBIENTES DE ÁREA MAIOR QUE 10 M2. AF_06/2014</t>
    </r>
  </si>
  <si>
    <r>
      <rPr>
        <sz val="7"/>
        <rFont val="Arial"/>
        <family val="2"/>
      </rPr>
      <t>RODAPÉ CERÂMICO DE 7CM DE ALTURA COM PLACAS TIPO ESMALTADA COMERCIAL DE DIMENSÕES 35X35CM (PADRAO POPULAR). AF_06/2017</t>
    </r>
  </si>
  <si>
    <r>
      <rPr>
        <b/>
        <sz val="7"/>
        <rFont val="Arial"/>
        <family val="2"/>
      </rPr>
      <t>SOLEIRAS</t>
    </r>
  </si>
  <si>
    <r>
      <rPr>
        <sz val="7"/>
        <rFont val="Arial"/>
        <family val="2"/>
      </rPr>
      <t>SOLEIRA EM GRANITO, LARGURA 15 CM, ESPESSURA 2,0 CM. AF_06/2018</t>
    </r>
  </si>
  <si>
    <r>
      <rPr>
        <sz val="7"/>
        <rFont val="Arial"/>
        <family val="2"/>
      </rPr>
      <t>SOL-GRA-005</t>
    </r>
  </si>
  <si>
    <r>
      <rPr>
        <sz val="7"/>
        <rFont val="Arial"/>
        <family val="2"/>
      </rPr>
      <t>SOLEIRA DE GRANITO CINZA ANDORINHA E = 2 CM</t>
    </r>
  </si>
  <si>
    <r>
      <rPr>
        <b/>
        <sz val="7"/>
        <rFont val="Arial"/>
        <family val="2"/>
      </rPr>
      <t>ESQUADRIAS</t>
    </r>
  </si>
  <si>
    <r>
      <rPr>
        <b/>
        <sz val="7"/>
        <rFont val="Arial"/>
        <family val="2"/>
      </rPr>
      <t>ESQUADRIAS DE MADEIRA</t>
    </r>
  </si>
  <si>
    <r>
      <rPr>
        <sz val="7"/>
        <rFont val="Arial"/>
        <family val="2"/>
      </rPr>
      <t>ADUELA / MARCO / BATENTE PARA PORTA DE 80X210CM, FIXAÇÃO COM ARGAMASSA, PADRÃO POPULAR - FORNECIMENTO E INSTALAÇÃO. AF_08/2015_P</t>
    </r>
  </si>
  <si>
    <r>
      <rPr>
        <sz val="7"/>
        <rFont val="Arial"/>
        <family val="2"/>
      </rPr>
      <t>PORTA DE MADEIRA PARA PINTURA, SEMI-OCA (LEVE OU MÉDIA), 80X210CM, ESPESSURA DE 3,5CM, INCLUSO DOBRADIÇAS - FORNECIMENTO E INSTALAÇÃO. AF_08/2015</t>
    </r>
  </si>
  <si>
    <r>
      <rPr>
        <sz val="7"/>
        <rFont val="Arial"/>
        <family val="2"/>
      </rPr>
      <t>FECHADURA DE EMBUTIR PARA PORTA DE BANHEIRO, COMPLETA, ACABAMENTO PADRÃO MÉDIO, INCLUSO EXECUÇÃO DE FURO - FORNECIMENTO E INSTALAÇÃO. AF_08/2015</t>
    </r>
  </si>
  <si>
    <r>
      <rPr>
        <sz val="7"/>
        <rFont val="Arial"/>
        <family val="2"/>
      </rPr>
      <t>FECHADURA DE EMBUTIR PARA PORTAS INTERNAS, COMPLETA, ACABAMENTO PADRÃO MÉDIO, COM EXECUÇÃO DE FURO - FORNECIMENTO E INSTALAÇÃO. AF_08/2015</t>
    </r>
  </si>
  <si>
    <r>
      <rPr>
        <sz val="7"/>
        <rFont val="Arial"/>
        <family val="2"/>
      </rPr>
      <t>ALIZAR / GUARNIÇÃO DE 5X1,5CM PARA PORTA DE 80X210CM FIXADO COM PREGOS, PADRÃO POPULAR - FORNECIMENTO E INSTALAÇÃO. AF_08/2015</t>
    </r>
  </si>
  <si>
    <r>
      <rPr>
        <sz val="7"/>
        <rFont val="Arial"/>
        <family val="2"/>
      </rPr>
      <t>Composição</t>
    </r>
  </si>
  <si>
    <r>
      <rPr>
        <sz val="7"/>
        <rFont val="Arial"/>
        <family val="2"/>
      </rPr>
      <t>PORTA DE MADEIRA, FOLHA MEDIA (NBR 15930) DE 90 X 210 CM, E = 35 MM, NUCLEO SARRAFEADO, CAPA LISA EM HDF, ACABAMENTO EM PRIMER PARA PINTURA, DE CORRER, COM TODOS OS ACESSÓRIOS - FORNECIMENTO E INSTALAÇÃO</t>
    </r>
  </si>
  <si>
    <r>
      <rPr>
        <sz val="7"/>
        <rFont val="Arial"/>
        <family val="2"/>
      </rPr>
      <t>UNIDADE</t>
    </r>
  </si>
  <si>
    <r>
      <rPr>
        <b/>
        <sz val="7"/>
        <rFont val="Arial"/>
        <family val="2"/>
      </rPr>
      <t>ESQUADRIA DE METAL</t>
    </r>
  </si>
  <si>
    <r>
      <rPr>
        <sz val="7"/>
        <rFont val="Arial"/>
        <family val="2"/>
      </rPr>
      <t>JANELA DE ALUMÍNIO DE CORRER, 2 FOLHAS, FIXAÇÃO COM PARAFUSO, VEDAÇÃO COM ESPUMA EXPANSIVA PU, COM VIDROS, PADRONIZADA. AF_07/2016</t>
    </r>
  </si>
  <si>
    <r>
      <rPr>
        <sz val="7"/>
        <rFont val="Arial"/>
        <family val="2"/>
      </rPr>
      <t>JANELA DE ALUMÍNIO MAXIM-AR, FIXAÇÃO COM PARAFUSO, VEDAÇÃO COM ESPUMA EXPANSIVA PU, COM VIDROS, PADRONIZADA. AF_07/2016</t>
    </r>
  </si>
  <si>
    <r>
      <rPr>
        <sz val="7"/>
        <rFont val="Arial"/>
        <family val="2"/>
      </rPr>
      <t>SER-POR-055</t>
    </r>
  </si>
  <si>
    <r>
      <rPr>
        <sz val="7"/>
        <rFont val="Arial"/>
        <family val="2"/>
      </rPr>
      <t>PORTÃO DE GRADE COLOCADO COM CADEADO</t>
    </r>
  </si>
  <si>
    <r>
      <rPr>
        <sz val="7"/>
        <rFont val="Arial"/>
        <family val="2"/>
      </rPr>
      <t>PORTÃO DE CORRER EM GRADIL, COM BARRA CHEATA DE 3 X 1/4" NA VERTUCAL, COM TRILHOS E ROLDANAS - FORNECIMENTO E INSTALAÇÃO</t>
    </r>
  </si>
  <si>
    <r>
      <rPr>
        <sz val="7"/>
        <rFont val="Arial"/>
        <family val="2"/>
      </rPr>
      <t>PEI-GRA-005</t>
    </r>
  </si>
  <si>
    <r>
      <rPr>
        <sz val="7"/>
        <rFont val="Arial"/>
        <family val="2"/>
      </rPr>
      <t>PEITORIL DE GRANITO CINZA ANDORINHA E = 2 CM</t>
    </r>
  </si>
  <si>
    <r>
      <rPr>
        <sz val="7"/>
        <rFont val="Arial"/>
        <family val="2"/>
      </rPr>
      <t>PORTA DE ALUMÍNIO DE ABRIR COM LAMBRI, COM GUARNIÇÃO, FIXAÇÃO COM PARAFUSOS - FORNECIMENTO E INSTALAÇÃO. AF_08/2015</t>
    </r>
  </si>
  <si>
    <r>
      <rPr>
        <b/>
        <sz val="7"/>
        <rFont val="Arial"/>
        <family val="2"/>
      </rPr>
      <t>GRADES METÁLICAS</t>
    </r>
  </si>
  <si>
    <r>
      <rPr>
        <sz val="7"/>
        <rFont val="Arial"/>
        <family val="2"/>
      </rPr>
      <t>setop</t>
    </r>
  </si>
  <si>
    <r>
      <rPr>
        <sz val="7"/>
        <rFont val="Arial"/>
        <family val="2"/>
      </rPr>
      <t>SER-GRA-005</t>
    </r>
  </si>
  <si>
    <r>
      <rPr>
        <sz val="7"/>
        <rFont val="Arial"/>
        <family val="2"/>
      </rPr>
      <t>FORNECIMENTO E ASSENTAMENTO DE GRADE FIXA DE FERRO, PARA PROTEÇÃO DE JANELAS</t>
    </r>
  </si>
  <si>
    <r>
      <rPr>
        <b/>
        <sz val="7"/>
        <rFont val="Arial"/>
        <family val="2"/>
      </rPr>
      <t>INSTALAÇÕES ELÉTRICAS</t>
    </r>
  </si>
  <si>
    <r>
      <rPr>
        <sz val="7"/>
        <rFont val="Arial"/>
        <family val="2"/>
      </rPr>
      <t>ELETRODUTO FLEXÍVEL CORRUGADO REFORÇADO, PVC, DN 25 MM (3/4"), PARA CIRCUITOS TERMINAIS, INSTALADO EM PAREDE - FORNECIMENTO E INSTALAÇÃO. AF_12/2015</t>
    </r>
  </si>
  <si>
    <r>
      <rPr>
        <sz val="7"/>
        <rFont val="Arial"/>
        <family val="2"/>
      </rPr>
      <t>ELE-CXS-160</t>
    </r>
  </si>
  <si>
    <r>
      <rPr>
        <sz val="7"/>
        <rFont val="Arial"/>
        <family val="2"/>
      </rPr>
      <t>CAIXA DE LIGAÇÃO DE PVC PARA ELETRODUTO FLEXÍVEL , RETANGULAR, DIMENSÕES 4 X 2"</t>
    </r>
  </si>
  <si>
    <r>
      <rPr>
        <sz val="7"/>
        <rFont val="Arial"/>
        <family val="2"/>
      </rPr>
      <t>ELE-CXS-175</t>
    </r>
  </si>
  <si>
    <r>
      <rPr>
        <sz val="7"/>
        <rFont val="Arial"/>
        <family val="2"/>
      </rPr>
      <t>CAIXA DE LIGAÇÃO DE PVC PARA ELETRODUTO FLEXÍVEL , OCTOGONAL COM FUNDO FIXO, DIMENSÕES 4 X 4"</t>
    </r>
  </si>
  <si>
    <r>
      <rPr>
        <sz val="7"/>
        <rFont val="Arial"/>
        <family val="2"/>
      </rPr>
      <t>CABO DE COBRE FLEXÍVEL ISOLADO, 1,5 MM², ANTI-CHAMA 450/750 V, PARA CIRCUITOS TERMINAIS - FORNECIMENTO E INSTALAÇÃO. AF_12/2015</t>
    </r>
  </si>
  <si>
    <r>
      <rPr>
        <sz val="7"/>
        <rFont val="Arial"/>
        <family val="2"/>
      </rPr>
      <t>CABO DE COBRE FLEXÍVEL ISOLADO, 6 MM², ANTI-CHAMA 450/750 V, PARA CIRCUITOS TERMINAIS - FORNECIMENTO E INSTALAÇÃO. AF_12/2015</t>
    </r>
  </si>
  <si>
    <r>
      <rPr>
        <sz val="7"/>
        <rFont val="Arial"/>
        <family val="2"/>
      </rPr>
      <t>CABO DE COBRE FLEXÍVEL ISOLADO, 2,5 MM², ANTI-CHAMA 450/750 V, PARA CIRCUITOS TERMINAIS - FORNECIMENTO E INSTALAÇÃO. AF_12/2015</t>
    </r>
  </si>
  <si>
    <r>
      <rPr>
        <sz val="7"/>
        <rFont val="Arial"/>
        <family val="2"/>
      </rPr>
      <t>TOMADA ALTA DE EMBUTIR (1 MÓDULO), 2P+T 10 A, INCLUINDO SUPORTE E PLACA - FORNECIMENTO E INSTALAÇÃO. AF_12/2015</t>
    </r>
  </si>
  <si>
    <r>
      <rPr>
        <sz val="7"/>
        <rFont val="Arial"/>
        <family val="2"/>
      </rPr>
      <t>TOMADA BAIXA DE EMBUTIR (1 MÓDULO), 2P+T 10 A, INCLUINDO SUPORTE E PLACA - FORNECIMENTO E INSTALAÇÃO. AF_12/2015</t>
    </r>
  </si>
  <si>
    <r>
      <rPr>
        <sz val="7"/>
        <rFont val="Arial"/>
        <family val="2"/>
      </rPr>
      <t>TOMADA MÉDIA DE EMBUTIR (1 MÓDULO), 2P+T 10 A, INCLUINDO SUPORTE E PLACA - FORNECIMENTO E INSTALAÇÃO. AF_12/2015</t>
    </r>
  </si>
  <si>
    <r>
      <rPr>
        <sz val="7"/>
        <rFont val="Arial"/>
        <family val="2"/>
      </rPr>
      <t>INTERRUPTOR SIMPLES (1 MÓDULO), 10A/250V, INCLUINDO SUPORTE E PLACA - FORNECIMENTO E INSTALAÇÃO. AF_12/2015</t>
    </r>
  </si>
  <si>
    <r>
      <rPr>
        <sz val="7"/>
        <rFont val="Arial"/>
        <family val="2"/>
      </rPr>
      <t>ELE-TOM-015</t>
    </r>
  </si>
  <si>
    <r>
      <rPr>
        <sz val="7"/>
        <rFont val="Arial"/>
        <family val="2"/>
      </rPr>
      <t>TOMADA SIMPLES - 2P + T - 20A COM PLACA</t>
    </r>
  </si>
  <si>
    <r>
      <rPr>
        <sz val="7"/>
        <rFont val="Arial"/>
        <family val="2"/>
      </rPr>
      <t>LUMINÁRIA TIPO PLAFON, DE SOBREPOR, COM 1 LÂMPADA LED - FORNECIMENTO E INSTALAÇÃO. AF_11/2017</t>
    </r>
  </si>
  <si>
    <r>
      <rPr>
        <sz val="7"/>
        <rFont val="Arial"/>
        <family val="2"/>
      </rPr>
      <t>DISJUNTOR BIPOLAR TIPO DIN, CORRENTE NOMINAL DE 20A - FORNECIMENTO E INSTALAÇÃO. AF_04/2016</t>
    </r>
  </si>
  <si>
    <r>
      <rPr>
        <sz val="7"/>
        <rFont val="Arial"/>
        <family val="2"/>
      </rPr>
      <t>CHUVEIRO ELETRICO COMUM CORPO PLASTICO TIPO DUCHA, FORNECIMENTO E INSTALACAO</t>
    </r>
  </si>
  <si>
    <r>
      <rPr>
        <b/>
        <sz val="7"/>
        <rFont val="Arial"/>
        <family val="2"/>
      </rPr>
      <t>INSTALAÇÕES HIDRO-SANITÁRIAS</t>
    </r>
  </si>
  <si>
    <r>
      <rPr>
        <b/>
        <sz val="7"/>
        <rFont val="Arial"/>
        <family val="2"/>
      </rPr>
      <t>ESGOTO SANITÁRIO</t>
    </r>
  </si>
  <si>
    <r>
      <rPr>
        <sz val="7"/>
        <rFont val="Arial"/>
        <family val="2"/>
      </rPr>
      <t>TUBO PVC, SERIE NORMAL, ESGOTO PREDIAL, DN 50 MM, FORNECIDO E INSTALADO EM PRUMADA DE ESGOTO SANITÁRIO OU VENTILAÇÃO. AF_12/2014</t>
    </r>
  </si>
  <si>
    <r>
      <rPr>
        <sz val="7"/>
        <rFont val="Arial"/>
        <family val="2"/>
      </rPr>
      <t>TUBO PVC, SERIE NORMAL, ESGOTO PREDIAL, DN 40 MM, FORNECIDO E INSTALADO EM RAMAL DE DESCARGA OU RAMAL DE ESGOTO SANITÁRIO. AF_12/2014</t>
    </r>
  </si>
  <si>
    <r>
      <rPr>
        <sz val="7"/>
        <rFont val="Arial"/>
        <family val="2"/>
      </rPr>
      <t>CAIXA SIFONADA, PVC, DN 100 X 100 X 50 MM, JUNTA ELÁSTICA, FORNECIDA E INSTALADA EM RAMAL DE DESCARGA OU EM RAMAL DE ESGOTO SANITÁRIO. AF_12/2014</t>
    </r>
  </si>
  <si>
    <r>
      <rPr>
        <b/>
        <sz val="7"/>
        <rFont val="Arial"/>
        <family val="2"/>
      </rPr>
      <t>ÁGUA FRIA</t>
    </r>
  </si>
  <si>
    <r>
      <rPr>
        <sz val="7"/>
        <rFont val="Arial"/>
        <family val="2"/>
      </rPr>
      <t>HID-TUB-010</t>
    </r>
  </si>
  <si>
    <r>
      <rPr>
        <sz val="7"/>
        <rFont val="Arial"/>
        <family val="2"/>
      </rPr>
      <t>FORNECIMENTO E ASSENTAMENTO DE TUBO PVC RÍGIDO SOLDÁVEL, ÁGUA FRIA, DN 25 MM (3/4") , INCLUSIVE CONEXÕES</t>
    </r>
  </si>
  <si>
    <r>
      <rPr>
        <sz val="7"/>
        <rFont val="Arial"/>
        <family val="2"/>
      </rPr>
      <t>REGISTRO DE PRESSÃO BRUTO, LATÃO, ROSCÁVEL, 3/4", COM ACABAMENTO E CANOPLA CROMADOS. FORNECIDO E INSTALADO EM RAMAL DE ÁGUA. AF_12/2014</t>
    </r>
  </si>
  <si>
    <r>
      <rPr>
        <sz val="7"/>
        <rFont val="Arial"/>
        <family val="2"/>
      </rPr>
      <t>REGISTRO DE GAVETA BRUTO, LATÃO, ROSCÁVEL, 3/4", COM ACABAMENTO E CANOPLA CROMADOS. FORNECIDO E INSTALADO EM RAMAL DE ÁGUA. AF_12/2014</t>
    </r>
  </si>
  <si>
    <r>
      <rPr>
        <b/>
        <sz val="7"/>
        <rFont val="Arial"/>
        <family val="2"/>
      </rPr>
      <t>LOUÇAS E METAIS SANITÁRIOS</t>
    </r>
  </si>
  <si>
    <r>
      <rPr>
        <sz val="7"/>
        <rFont val="Arial"/>
        <family val="2"/>
      </rPr>
      <t>VASO SANITÁRIO SIFONADO COM CAIXA ACOPLADA LOUÇA BRANCA, INCLUSO ENGATE FLEXÍVEL EM PLÁSTICO BRANCO, 1/2  X 40CM - FORNECIMENTO E INSTALAÇÃO. AF_12/2013</t>
    </r>
  </si>
  <si>
    <r>
      <rPr>
        <sz val="7"/>
        <rFont val="Arial"/>
        <family val="2"/>
      </rPr>
      <t>ACE-ASS-005</t>
    </r>
  </si>
  <si>
    <r>
      <rPr>
        <sz val="7"/>
        <rFont val="Arial"/>
        <family val="2"/>
      </rPr>
      <t>ASSENTO BRANCO PARA VASO</t>
    </r>
  </si>
  <si>
    <r>
      <rPr>
        <sz val="7"/>
        <rFont val="Arial"/>
        <family val="2"/>
      </rPr>
      <t>LAVATÓRIO LOUÇA BRANCA COM COLUNA, *44 X 35,5* CM, PADRÃO POPULAR, INCLUSO SIFÃO FLEXÍVEL EM PVC, VÁLVULA E ENGATE FLEXÍVEL 30CM EM PLÁSTICO E COM TORNEIRA CROMADA PADRÃO POPULAR - FORNECIMENTO E INSTALAÇÃO. AF_12/2013</t>
    </r>
  </si>
  <si>
    <r>
      <rPr>
        <sz val="7"/>
        <rFont val="Arial"/>
        <family val="2"/>
      </rPr>
      <t>ACE-CAB-015</t>
    </r>
  </si>
  <si>
    <r>
      <rPr>
        <sz val="7"/>
        <rFont val="Arial"/>
        <family val="2"/>
      </rPr>
      <t>CABIDE METÁLICO SIMPLES CROMADO, INCLUSIVE FIXAÇÃO</t>
    </r>
  </si>
  <si>
    <r>
      <rPr>
        <sz val="7"/>
        <rFont val="Arial"/>
        <family val="2"/>
      </rPr>
      <t>PAPELEIRA DE PAREDE EM METAL CROMADO SEM TAMPA, INCLUSO FIXAÇÃO. AF_10/2016</t>
    </r>
  </si>
  <si>
    <r>
      <rPr>
        <sz val="7"/>
        <rFont val="Arial"/>
        <family val="2"/>
      </rPr>
      <t>TANQUE DE MÁRMORE SINTÉTICO SUSPENSO, 22L OU EQUIVALENTE, INCLUSO SIFÃO FLEXÍVEL EM PVC, VÁLVULA PLÁSTICA E TORNEIRA DE METAL CROMADO PADRÃO POPULAR - FORNECIMENTO E INSTALAÇÃO. AF_12/2013</t>
    </r>
  </si>
  <si>
    <r>
      <rPr>
        <sz val="7"/>
        <rFont val="Arial"/>
        <family val="2"/>
      </rPr>
      <t>TORNEIRA CROMADA TUBO MÓVEL, DE MESA, 1/2" OU 3/4", PARA PIA DE COZINHA, PADRÃO ALTO - FORNECIMENTO E INSTALAÇÃO. AF_12/2013</t>
    </r>
  </si>
  <si>
    <r>
      <rPr>
        <sz val="7"/>
        <rFont val="Arial"/>
        <family val="2"/>
      </rPr>
      <t>VID-ESP-015</t>
    </r>
  </si>
  <si>
    <r>
      <rPr>
        <sz val="7"/>
        <rFont val="Arial"/>
        <family val="2"/>
      </rPr>
      <t>ESPELHO (40 X 60) CM, E = 4 MM, COLOCADO COM PARAFUSO FINESSON</t>
    </r>
  </si>
  <si>
    <r>
      <rPr>
        <b/>
        <sz val="7"/>
        <rFont val="Arial"/>
        <family val="2"/>
      </rPr>
      <t>BANCADAS E DIVISÓRIAS</t>
    </r>
  </si>
  <si>
    <r>
      <rPr>
        <sz val="7"/>
        <rFont val="Arial"/>
        <family val="2"/>
      </rPr>
      <t>CUBA DE EMBUTIR OVAL EM LOUÇA BRANCA, 35 X 50CM OU EQUIVALENTE, INCLUSO VÁLVULA EM METAL CROMADO E SIFÃO FLEXÍVEL EM PVC - FORNECIMENTO E INSTALAÇÃO. AF_12/2013</t>
    </r>
  </si>
  <si>
    <r>
      <rPr>
        <sz val="7"/>
        <rFont val="Arial"/>
        <family val="2"/>
      </rPr>
      <t xml:space="preserve">BANCADA DE GRANITO CINZA POLIDO PARA PIA DE COZINHA 1,50 X 0,60 M
</t>
    </r>
    <r>
      <rPr>
        <sz val="7"/>
        <rFont val="Arial"/>
        <family val="2"/>
      </rPr>
      <t>- FORNECIMENTO E INSTALAÇÃO. AF_12/2013</t>
    </r>
  </si>
  <si>
    <r>
      <rPr>
        <sz val="7"/>
        <rFont val="Arial"/>
        <family val="2"/>
      </rPr>
      <t>CUBA DE EMBUTIR DE AÇO INOXIDÁVEL MÉDIA, INCLUSO VÁLVULA TIPO AMERICANA EM METAL CROMADO E SIFÃO FLEXÍVEL EM PVC - FORNECIMENTO E INSTALAÇÃO. AF_12/2013</t>
    </r>
  </si>
  <si>
    <r>
      <rPr>
        <sz val="7"/>
        <rFont val="Arial"/>
        <family val="2"/>
      </rPr>
      <t>BAN-GRA-010</t>
    </r>
  </si>
  <si>
    <r>
      <rPr>
        <sz val="7"/>
        <rFont val="Arial"/>
        <family val="2"/>
      </rPr>
      <t>BANCADA EM GRANITO CINZA ANDORINHA E = 3 CM, APOIADA EM ALVENARIA</t>
    </r>
  </si>
  <si>
    <r>
      <rPr>
        <b/>
        <sz val="7"/>
        <rFont val="Arial"/>
        <family val="2"/>
      </rPr>
      <t>PINTURA</t>
    </r>
  </si>
  <si>
    <r>
      <rPr>
        <sz val="7"/>
        <rFont val="Arial"/>
        <family val="2"/>
      </rPr>
      <t>APLICAÇÃO DE FUNDO SELADOR ACRÍLICO EM PAREDES, UMA DEMÃO. AF_06/2014</t>
    </r>
  </si>
  <si>
    <r>
      <rPr>
        <sz val="7"/>
        <rFont val="Arial"/>
        <family val="2"/>
      </rPr>
      <t>APLICAÇÃO DE FUNDO SELADOR ACRÍLICO EM TETO, UMA DEMÃO. AF_06/2014</t>
    </r>
  </si>
  <si>
    <r>
      <rPr>
        <sz val="7"/>
        <rFont val="Arial"/>
        <family val="2"/>
      </rPr>
      <t>PIN-EMA-011</t>
    </r>
  </si>
  <si>
    <r>
      <rPr>
        <sz val="7"/>
        <rFont val="Arial"/>
        <family val="2"/>
      </rPr>
      <t>EMASSAMENTO EM PAREDE COM MASSA CORRIDA (PVA), DUAS (2) DEMÃOS, INCLUSIVE LIXAMENTO PARA PINTURA</t>
    </r>
  </si>
  <si>
    <r>
      <rPr>
        <sz val="7"/>
        <rFont val="Arial"/>
        <family val="2"/>
      </rPr>
      <t>PIN-EMA-013</t>
    </r>
  </si>
  <si>
    <r>
      <rPr>
        <sz val="7"/>
        <rFont val="Arial"/>
        <family val="2"/>
      </rPr>
      <t>EMASSAMENTO EM TETO COM MASSA CORRIDA (PVA), DUAS (2) DEMÃOS, INCLUSIVE LIXAMENTO PARA PINTURA</t>
    </r>
  </si>
  <si>
    <r>
      <rPr>
        <sz val="7"/>
        <rFont val="Arial"/>
        <family val="2"/>
      </rPr>
      <t>APLICAÇÃO MANUAL DE PINTURA COM TINTA LÁTEX ACRÍLICA EM PAREDES, DUAS DEMÃOS. AF_06/2014</t>
    </r>
  </si>
  <si>
    <r>
      <rPr>
        <sz val="7"/>
        <rFont val="Arial"/>
        <family val="2"/>
      </rPr>
      <t>APLICAÇÃO MANUAL DE PINTURA COM TINTA LÁTEX ACRÍLICA EM TETO, DUAS DEMÃOS. AF_06/2014</t>
    </r>
  </si>
  <si>
    <r>
      <rPr>
        <sz val="7"/>
        <rFont val="Arial"/>
        <family val="2"/>
      </rPr>
      <t>74065/3</t>
    </r>
  </si>
  <si>
    <r>
      <rPr>
        <sz val="7"/>
        <rFont val="Arial"/>
        <family val="2"/>
      </rPr>
      <t>PINTURA ESMALTE BRILHANTE PARA MADEIRA, DUAS DEMAOS, SOBRE FUNDO NIVELADOR BRANCO</t>
    </r>
  </si>
  <si>
    <r>
      <rPr>
        <sz val="7"/>
        <rFont val="Arial"/>
        <family val="2"/>
      </rPr>
      <t>73924/1</t>
    </r>
  </si>
  <si>
    <r>
      <rPr>
        <sz val="7"/>
        <rFont val="Arial"/>
        <family val="2"/>
      </rPr>
      <t>PINTURA ESMALTE ALTO BRILHO, DUAS DEMAOS, SOBRE SUPERFICIE METALICA</t>
    </r>
  </si>
  <si>
    <r>
      <rPr>
        <sz val="7"/>
        <rFont val="Arial"/>
        <family val="2"/>
      </rPr>
      <t>PIN-OLE-005</t>
    </r>
  </si>
  <si>
    <r>
      <rPr>
        <sz val="7"/>
        <rFont val="Arial"/>
        <family val="2"/>
      </rPr>
      <t>PINTURA ESMALTE EM ALVENARIA COM REBOCO, DUAS (2) DEMÃOS, EXCLUSIVE SELADOR ACRÍLICO E MASSA ACRÍLICA/CORRIDA (PVA)</t>
    </r>
  </si>
  <si>
    <r>
      <rPr>
        <b/>
        <sz val="7"/>
        <rFont val="Arial"/>
        <family val="2"/>
      </rPr>
      <t>LIMPEZA FINAL</t>
    </r>
  </si>
  <si>
    <r>
      <rPr>
        <b/>
        <sz val="7"/>
        <rFont val="Arial"/>
        <family val="2"/>
      </rPr>
      <t>LIMPEZA FINAL DA OBRA</t>
    </r>
  </si>
  <si>
    <r>
      <rPr>
        <sz val="7"/>
        <rFont val="Arial"/>
        <family val="2"/>
      </rPr>
      <t>LIM-GER-005</t>
    </r>
  </si>
  <si>
    <r>
      <rPr>
        <sz val="7"/>
        <rFont val="Arial"/>
        <family val="2"/>
      </rPr>
      <t>LIMPEZA GERAL DE OBRA</t>
    </r>
  </si>
  <si>
    <r>
      <rPr>
        <b/>
        <sz val="7"/>
        <rFont val="Arial"/>
        <family val="2"/>
      </rPr>
      <t>SERVIÇOS PRELIMINARES</t>
    </r>
  </si>
  <si>
    <r>
      <rPr>
        <sz val="7"/>
        <rFont val="Arial"/>
        <family val="2"/>
      </rPr>
      <t>74209/1</t>
    </r>
  </si>
  <si>
    <r>
      <rPr>
        <sz val="7"/>
        <rFont val="Arial"/>
        <family val="2"/>
      </rPr>
      <t>74220/1</t>
    </r>
  </si>
  <si>
    <r>
      <rPr>
        <sz val="7"/>
        <rFont val="Arial"/>
        <family val="2"/>
      </rPr>
      <t>DEMOLIÇÃO DE LAJES, DE FORMA MECANIZADA COM MARTELETE, SEM REAPROVEITAMENTO. AF_12/2017</t>
    </r>
  </si>
  <si>
    <r>
      <rPr>
        <sz val="7"/>
        <rFont val="Arial"/>
        <family val="2"/>
      </rPr>
      <t>DEM-PIS-010</t>
    </r>
  </si>
  <si>
    <r>
      <rPr>
        <sz val="7"/>
        <rFont val="Arial"/>
        <family val="2"/>
      </rPr>
      <t>DEMOLIÇÃO DE PISO CERÂMICO OU LADRILHO HIDRÁULICO, INCLUSIVE AFASTAMENTO</t>
    </r>
  </si>
  <si>
    <r>
      <rPr>
        <sz val="7"/>
        <rFont val="Arial"/>
        <family val="2"/>
      </rPr>
      <t>DEM-PIS-005</t>
    </r>
  </si>
  <si>
    <r>
      <rPr>
        <sz val="7"/>
        <rFont val="Arial"/>
        <family val="2"/>
      </rPr>
      <t>DEMOLIÇÃO DE PISO CIMENTADO OU CONTRAPISO DE ARGAMASSA ESPESSURA MÁXIMA DE 10CM, INCLUSIVE AFASTAMENTO</t>
    </r>
  </si>
  <si>
    <r>
      <rPr>
        <sz val="7"/>
        <rFont val="Arial"/>
        <family val="2"/>
      </rPr>
      <t>REMOÇÃO DE PINTURA PVA/ACRÍLICA</t>
    </r>
  </si>
  <si>
    <r>
      <rPr>
        <b/>
        <sz val="7"/>
        <rFont val="Arial"/>
        <family val="2"/>
      </rPr>
      <t xml:space="preserve">BDI 3
</t>
    </r>
    <r>
      <rPr>
        <sz val="7"/>
        <rFont val="Arial"/>
        <family val="2"/>
      </rPr>
      <t>0,00%</t>
    </r>
  </si>
  <si>
    <t>_____________________________________________</t>
  </si>
  <si>
    <t>______________________________________</t>
  </si>
  <si>
    <t>BARRACÃO DE OBRA (ALMOXARIFADO) COM PAREDE COMPESADA E COBERTURA EM TELHA ONDULADA DE FIBROCIMENTO E=6MM</t>
  </si>
  <si>
    <t>DEMOLIÇÃO DE PAVIMENTO PARALELEPIPEDO REJUNTADO COM AREIA INCLUSIVE AFASTAMENTO</t>
  </si>
  <si>
    <t>SETOP</t>
  </si>
  <si>
    <t>PAVIMENTAÇÃO RUA GLORIA GUERRA</t>
  </si>
  <si>
    <t xml:space="preserve">PREFEITURA MUNICIPAL DE LARANJAL
RUA NORBERTO BERNO, 85, CENTRO - LARANJAL - MG
CNPJ n°:17.947.615/0001-22
Telefones: (32) 3424-13857
</t>
  </si>
  <si>
    <t>PO - PLANILHA ORÇAMENTÁRIA</t>
  </si>
  <si>
    <t>PAVIMENTAÇÃO DE VIA URBANA</t>
  </si>
  <si>
    <t>PAVIMENTAÇÃO</t>
  </si>
  <si>
    <t>DRENAGEM URBANA</t>
  </si>
  <si>
    <t>DRENAGEM SUPERFICIAL</t>
  </si>
  <si>
    <t>TER-REG-005</t>
  </si>
  <si>
    <t>REGULARIZAÇÃO E COMPACTAÇÃO DE TERRENO MANUAL, COM SOQUETE</t>
  </si>
  <si>
    <t>DRENAGEM PROFUNDA</t>
  </si>
  <si>
    <t>ESCAVAÇÃO MECANIZADA DE VALA COM PROFUNDIDADE ATE 1,5 M (MEDIA ENTRE MONTANTE E JUSSANTE?UMA COMPOSIÇÃO POR TRECHO) COM RETROESCAVADEIRA (CAPACIDADE DA CAÇAMBA DA RETRO 0,28M3 /POTENCIA 88 HP)LARGURA MENOR QUE 0,80 M  EM SOLO DE 1ª CATEGORIA, LOCAIS COM BAIXO NIVEL DE INTERFERENCIA. AF_01/2015</t>
  </si>
  <si>
    <t>PREPARO DE FUNDO DE VALA COM LARGURA MENOR QUE 1,5 M, EM LOCAL COM NIVEL BAIXO DE INTERFERENCIA</t>
  </si>
  <si>
    <t>M3</t>
  </si>
  <si>
    <t>COMPOSIÇÃO</t>
  </si>
  <si>
    <t>FORNECIMENTO E ASSENTAMENTO DE TUBO DE CONCRETO PARA REDES COLETORAS DE AGUAS PLUVIAIS, DIAMETRO DE 400MM, JUNTA RIGIDA, INSTALADO EM LOCAL COM  BAIX NIVEL  INTERFERENCIA</t>
  </si>
  <si>
    <t>M</t>
  </si>
  <si>
    <t>FORNECIMENTO E ASSENTAMENTO DE TUBO DE CONCRETO PARA REDES COLETORAS DE AGUAS PLUVIAIS, DIAMETRO DE 600MM, JUNTA RIGIDA, INSTALADO EM LOCAL COM  BAIX NIVEL  INTERFERENCIA</t>
  </si>
  <si>
    <t>SINAPI</t>
  </si>
  <si>
    <t>BOCA DE LOBO EM ALVENARIA EM ALVENARIA DE TIJOLO MACIÇO REVESTIDA COM ARGAMASSA  DE CIMENTO E AREIA  1:3 SOBRE LASTRO DE CONCRETO  DE 10 CM E GRELHA EM FF DE 30X90CM, PARA RALO.</t>
  </si>
  <si>
    <t>UND</t>
  </si>
  <si>
    <t>CHAMINE CIRCULAR PARA POÇO DE VISITA  PARA DRENAGEM, EM CONCRETO PRE MOLDADO, DIAMETRO  INTERNO = 0,6 M AF_05/2018</t>
  </si>
  <si>
    <t>TAMPÃO FOFO ARTICULADO, CLASE B 125 CARGA MAXIMA 12,5 TON, REDONDO TAMPA 600MM, REDE PLUVIAL/ESGOTO, P = CHAMINE CX AREIA /POÇO VISITA  ASSENTADO COM ARGAMASSA  CIM/AREIA 1:4  FORNECIMENTO E ASSENTAMENTO</t>
  </si>
  <si>
    <t>TAMPÃO FOFO ARTICULADO, CLASE B 125 CARGA MAXIMA 12,5 TON, REDONDO TAMPA 400MM, REDE PLUVIAL/ESGOTO, P = CHAMINE CX AREIA /POÇO VISITA  ASSENTADO COM ARGAMASSA  CIM/AREIA 1:4  FORNECIMENTO E ASSENTAMENTO</t>
  </si>
  <si>
    <t>PAULO CESAR CORRÊA</t>
  </si>
  <si>
    <t>PLACA DE OBRA (PARA CONSTRUCAO CIVIL) EM CHAPA GALVANIZADA *N. 22*, ADESIVADA, DE *2,0 X 1,125* M</t>
  </si>
  <si>
    <t>REATERRO MANUAL DE VALA COM COMPACTAÇÃO MECANIZADA. AF. 10/2017</t>
  </si>
  <si>
    <t>DEM-PIS-065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</si>
  <si>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</si>
  <si>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</si>
  <si>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</si>
  <si>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</si>
  <si>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</si>
  <si>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</si>
  <si>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</si>
  <si>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sem (BDI(R$)</t>
  </si>
  <si>
    <t>(%)</t>
  </si>
  <si>
    <t xml:space="preserve">BDI </t>
  </si>
  <si>
    <t xml:space="preserve">preço Unitário </t>
  </si>
  <si>
    <t>(com BDI) (R$)</t>
  </si>
  <si>
    <t xml:space="preserve">Preço Total </t>
  </si>
  <si>
    <t>(R$)</t>
  </si>
  <si>
    <t xml:space="preserve">                PREFEITURA MUNICIPAL DE LARANJAL</t>
  </si>
  <si>
    <t>CNPJ:17.947.615/0001-22</t>
  </si>
  <si>
    <t>PAVIMENTAÇÃO E DRENAGEM- RUA GLORIA GUERRA</t>
  </si>
  <si>
    <t>APELIDO DO EMPREENDIMENTO:  PAVIMENTAÇÃO E DRENAGEM                       RUA GLORIA GUERRA</t>
  </si>
  <si>
    <t>Engenheiro Civil CREA 129272/D</t>
  </si>
  <si>
    <r>
      <rPr>
        <b/>
        <sz val="7"/>
        <rFont val="Arial"/>
        <family val="2"/>
      </rPr>
      <t xml:space="preserve">PROPONENTE / TOMADOR 
</t>
    </r>
    <r>
      <rPr>
        <sz val="7"/>
        <rFont val="Arial"/>
        <family val="2"/>
      </rPr>
      <t xml:space="preserve"> PREFEITURA MUNICIPAL DE LARANJAL</t>
    </r>
  </si>
  <si>
    <t>POÇO DE INSPEÇÃO CIRCULAR PARA DRENAGEM, EM ALVENARIA COM TIJOLOS CERÂMICOS MACIÇOS, DIÂMETRO INTERNO = 0,7 M, PROFUNDIDADE = 1,5 M, EXCLUINDO TAMPÃO. AF_12/2020</t>
  </si>
  <si>
    <t>POÇO DE INSPEÇÃO CIRCULAR PARA DRENAGEM, EM ALVENARIA COM TIJOLOS CERÂMICOS MACIÇOS, DIÂMETRO INTERNO = 0,9 M, PROFUNDIDADE = 1,5 M, EXCLUINDO TAMPÃO. AF_12/2020</t>
  </si>
  <si>
    <t>TRANSPORTE COM CAMINHÃO TANQUE DE TRANSPORTE DE MATERIAL ASFÁLTICO DE 30000 L, EM VIA URBANA PAVIMENTADA, DMT ATÉ 30KM (UNIDADE: TXKM). AF_07/2020</t>
  </si>
  <si>
    <t>EXECUÇÃO DE PINTURA DE LIGAÇÃO COM EMULSÃO ASFÁLTICA RR-2C. AF_11/2019</t>
  </si>
  <si>
    <t>EXECUÇÃO DE PAVIMENTO COM APLICAÇÃO DE CONCRETO ASFÁLTICO, CAMADA DE ROLAMENTO - EXCLUSIVE CARGA E TRANSPORTE. AF_11/2019</t>
  </si>
  <si>
    <t>TXKM</t>
  </si>
  <si>
    <t>TON</t>
  </si>
</sst>
</file>

<file path=xl/styles.xml><?xml version="1.0" encoding="utf-8"?>
<styleSheet xmlns="http://schemas.openxmlformats.org/spreadsheetml/2006/main">
  <numFmts count="6">
    <numFmt numFmtId="164" formatCode="#,##0.00;#,##0.00"/>
    <numFmt numFmtId="165" formatCode="#,##0;#,##0"/>
    <numFmt numFmtId="166" formatCode="###0.00;###0.00"/>
    <numFmt numFmtId="167" formatCode="###0;###0"/>
    <numFmt numFmtId="168" formatCode="###000;###000"/>
    <numFmt numFmtId="169" formatCode="&quot;R$&quot;\ #,##0.00"/>
  </numFmts>
  <fonts count="13">
    <font>
      <sz val="10"/>
      <color rgb="FF000000"/>
      <name val="Times New Roman"/>
      <charset val="204"/>
    </font>
    <font>
      <b/>
      <sz val="7"/>
      <name val="Arial"/>
      <family val="2"/>
    </font>
    <font>
      <sz val="7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name val="Calibri"/>
      <family val="2"/>
    </font>
    <font>
      <sz val="5"/>
      <name val="Calibri"/>
      <family val="2"/>
    </font>
    <font>
      <b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7F7F7F"/>
      </patternFill>
    </fill>
    <fill>
      <patternFill patternType="solid">
        <fgColor rgb="FF969696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164" fontId="3" fillId="2" borderId="10" xfId="0" applyNumberFormat="1" applyFont="1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166" fontId="3" fillId="4" borderId="4" xfId="0" applyNumberFormat="1" applyFont="1" applyFill="1" applyBorder="1" applyAlignment="1">
      <alignment horizontal="left" vertical="top" wrapText="1"/>
    </xf>
    <xf numFmtId="0" fontId="2" fillId="5" borderId="8" xfId="0" applyFont="1" applyFill="1" applyBorder="1" applyAlignment="1">
      <alignment horizontal="left" vertical="top" wrapText="1"/>
    </xf>
    <xf numFmtId="0" fontId="2" fillId="6" borderId="8" xfId="0" applyFont="1" applyFill="1" applyBorder="1" applyAlignment="1">
      <alignment horizontal="left" vertical="top" wrapText="1"/>
    </xf>
    <xf numFmtId="0" fontId="2" fillId="6" borderId="8" xfId="0" applyFont="1" applyFill="1" applyBorder="1" applyAlignment="1">
      <alignment horizontal="center" vertical="top" wrapText="1"/>
    </xf>
    <xf numFmtId="166" fontId="4" fillId="6" borderId="8" xfId="0" applyNumberFormat="1" applyFont="1" applyFill="1" applyBorder="1" applyAlignment="1">
      <alignment horizontal="left" vertical="top" wrapText="1"/>
    </xf>
    <xf numFmtId="166" fontId="4" fillId="0" borderId="8" xfId="0" applyNumberFormat="1" applyFont="1" applyFill="1" applyBorder="1" applyAlignment="1">
      <alignment horizontal="left" vertical="top" wrapText="1"/>
    </xf>
    <xf numFmtId="0" fontId="5" fillId="5" borderId="8" xfId="0" applyFont="1" applyFill="1" applyBorder="1" applyAlignment="1">
      <alignment horizontal="left" vertical="top" wrapText="1"/>
    </xf>
    <xf numFmtId="0" fontId="1" fillId="4" borderId="8" xfId="0" applyFont="1" applyFill="1" applyBorder="1" applyAlignment="1">
      <alignment horizontal="left" vertical="top" wrapText="1"/>
    </xf>
    <xf numFmtId="166" fontId="3" fillId="4" borderId="8" xfId="0" applyNumberFormat="1" applyFont="1" applyFill="1" applyBorder="1" applyAlignment="1">
      <alignment horizontal="left" vertical="top" wrapText="1"/>
    </xf>
    <xf numFmtId="166" fontId="4" fillId="6" borderId="8" xfId="0" applyNumberFormat="1" applyFont="1" applyFill="1" applyBorder="1" applyAlignment="1">
      <alignment horizontal="right" vertical="top" wrapText="1"/>
    </xf>
    <xf numFmtId="164" fontId="3" fillId="4" borderId="4" xfId="0" applyNumberFormat="1" applyFont="1" applyFill="1" applyBorder="1" applyAlignment="1">
      <alignment horizontal="left" vertical="top" wrapText="1"/>
    </xf>
    <xf numFmtId="164" fontId="4" fillId="0" borderId="8" xfId="0" applyNumberFormat="1" applyFont="1" applyFill="1" applyBorder="1" applyAlignment="1">
      <alignment horizontal="left" vertical="top" wrapText="1"/>
    </xf>
    <xf numFmtId="0" fontId="0" fillId="6" borderId="8" xfId="0" applyFill="1" applyBorder="1" applyAlignment="1">
      <alignment horizontal="left" vertical="top" wrapText="1"/>
    </xf>
    <xf numFmtId="164" fontId="3" fillId="4" borderId="8" xfId="0" applyNumberFormat="1" applyFont="1" applyFill="1" applyBorder="1" applyAlignment="1">
      <alignment horizontal="left" vertical="top" wrapText="1"/>
    </xf>
    <xf numFmtId="0" fontId="5" fillId="5" borderId="8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top" wrapText="1"/>
    </xf>
    <xf numFmtId="0" fontId="2" fillId="6" borderId="15" xfId="0" applyFont="1" applyFill="1" applyBorder="1" applyAlignment="1">
      <alignment horizontal="left" vertical="top" wrapText="1"/>
    </xf>
    <xf numFmtId="0" fontId="2" fillId="6" borderId="15" xfId="0" applyFont="1" applyFill="1" applyBorder="1" applyAlignment="1">
      <alignment horizontal="center" vertical="top" wrapText="1"/>
    </xf>
    <xf numFmtId="166" fontId="4" fillId="0" borderId="15" xfId="0" applyNumberFormat="1" applyFont="1" applyFill="1" applyBorder="1" applyAlignment="1">
      <alignment horizontal="left" vertical="top" wrapText="1"/>
    </xf>
    <xf numFmtId="166" fontId="4" fillId="6" borderId="15" xfId="0" applyNumberFormat="1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164" fontId="4" fillId="6" borderId="8" xfId="0" applyNumberFormat="1" applyFont="1" applyFill="1" applyBorder="1" applyAlignment="1">
      <alignment horizontal="left" vertical="top" wrapText="1"/>
    </xf>
    <xf numFmtId="164" fontId="4" fillId="6" borderId="15" xfId="0" applyNumberFormat="1" applyFont="1" applyFill="1" applyBorder="1" applyAlignment="1">
      <alignment horizontal="left" vertical="top" wrapText="1"/>
    </xf>
    <xf numFmtId="10" fontId="2" fillId="0" borderId="4" xfId="0" applyNumberFormat="1" applyFont="1" applyFill="1" applyBorder="1" applyAlignment="1">
      <alignment horizontal="center" vertical="top" wrapText="1"/>
    </xf>
    <xf numFmtId="164" fontId="4" fillId="0" borderId="9" xfId="0" applyNumberFormat="1" applyFont="1" applyFill="1" applyBorder="1" applyAlignment="1">
      <alignment vertical="top" wrapText="1"/>
    </xf>
    <xf numFmtId="164" fontId="4" fillId="0" borderId="9" xfId="0" applyNumberFormat="1" applyFont="1" applyFill="1" applyBorder="1" applyAlignment="1">
      <alignment vertical="top"/>
    </xf>
    <xf numFmtId="164" fontId="4" fillId="0" borderId="16" xfId="0" applyNumberFormat="1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0" fontId="2" fillId="5" borderId="0" xfId="0" applyFont="1" applyFill="1" applyBorder="1" applyAlignment="1">
      <alignment horizontal="left" vertical="top" wrapText="1"/>
    </xf>
    <xf numFmtId="167" fontId="4" fillId="6" borderId="0" xfId="0" applyNumberFormat="1" applyFont="1" applyFill="1" applyBorder="1" applyAlignment="1">
      <alignment horizontal="center" vertical="top" wrapText="1"/>
    </xf>
    <xf numFmtId="0" fontId="2" fillId="6" borderId="0" xfId="0" applyFont="1" applyFill="1" applyBorder="1" applyAlignment="1">
      <alignment horizontal="left" vertical="top" wrapText="1"/>
    </xf>
    <xf numFmtId="0" fontId="2" fillId="6" borderId="0" xfId="0" applyFont="1" applyFill="1" applyBorder="1" applyAlignment="1">
      <alignment horizontal="center" vertical="top" wrapText="1"/>
    </xf>
    <xf numFmtId="166" fontId="4" fillId="0" borderId="0" xfId="0" applyNumberFormat="1" applyFont="1" applyFill="1" applyBorder="1" applyAlignment="1">
      <alignment horizontal="right" vertical="top" wrapText="1"/>
    </xf>
    <xf numFmtId="166" fontId="4" fillId="6" borderId="0" xfId="0" applyNumberFormat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left" vertical="top"/>
    </xf>
    <xf numFmtId="166" fontId="4" fillId="0" borderId="0" xfId="0" applyNumberFormat="1" applyFont="1" applyFill="1" applyBorder="1" applyAlignment="1">
      <alignment horizontal="left" vertical="top" wrapText="1"/>
    </xf>
    <xf numFmtId="0" fontId="5" fillId="5" borderId="0" xfId="0" applyFont="1" applyFill="1" applyBorder="1" applyAlignment="1">
      <alignment horizontal="left" vertical="top" wrapText="1"/>
    </xf>
    <xf numFmtId="164" fontId="4" fillId="6" borderId="0" xfId="0" applyNumberFormat="1" applyFont="1" applyFill="1" applyBorder="1" applyAlignment="1">
      <alignment horizontal="left" vertical="top" wrapText="1"/>
    </xf>
    <xf numFmtId="164" fontId="0" fillId="0" borderId="0" xfId="0" applyNumberFormat="1" applyFill="1" applyBorder="1" applyAlignment="1">
      <alignment horizontal="left" vertical="top"/>
    </xf>
    <xf numFmtId="169" fontId="0" fillId="0" borderId="0" xfId="0" applyNumberFormat="1" applyFill="1" applyBorder="1" applyAlignment="1">
      <alignment horizontal="left" vertical="top"/>
    </xf>
    <xf numFmtId="0" fontId="0" fillId="7" borderId="0" xfId="0" applyFill="1" applyBorder="1" applyAlignment="1">
      <alignment horizontal="left" vertical="top"/>
    </xf>
    <xf numFmtId="0" fontId="0" fillId="8" borderId="0" xfId="0" applyFill="1" applyBorder="1" applyAlignment="1">
      <alignment horizontal="left" vertical="top"/>
    </xf>
    <xf numFmtId="164" fontId="4" fillId="8" borderId="0" xfId="0" applyNumberFormat="1" applyFont="1" applyFill="1" applyBorder="1" applyAlignment="1">
      <alignment horizontal="left" vertical="top" wrapText="1"/>
    </xf>
    <xf numFmtId="164" fontId="4" fillId="8" borderId="0" xfId="0" applyNumberFormat="1" applyFont="1" applyFill="1" applyBorder="1" applyAlignment="1">
      <alignment vertical="top" wrapText="1"/>
    </xf>
    <xf numFmtId="0" fontId="2" fillId="8" borderId="0" xfId="0" applyFont="1" applyFill="1" applyBorder="1" applyAlignment="1">
      <alignment vertical="top" wrapText="1"/>
    </xf>
    <xf numFmtId="0" fontId="8" fillId="6" borderId="8" xfId="0" applyFont="1" applyFill="1" applyBorder="1" applyAlignment="1">
      <alignment horizontal="left" vertical="top" wrapText="1"/>
    </xf>
    <xf numFmtId="0" fontId="2" fillId="5" borderId="22" xfId="0" applyFont="1" applyFill="1" applyBorder="1" applyAlignment="1">
      <alignment horizontal="left" vertical="top" wrapText="1"/>
    </xf>
    <xf numFmtId="0" fontId="2" fillId="6" borderId="22" xfId="0" applyFont="1" applyFill="1" applyBorder="1" applyAlignment="1">
      <alignment horizontal="left" vertical="top" wrapText="1"/>
    </xf>
    <xf numFmtId="0" fontId="2" fillId="6" borderId="22" xfId="0" applyFont="1" applyFill="1" applyBorder="1" applyAlignment="1">
      <alignment horizontal="center" vertical="top" wrapText="1"/>
    </xf>
    <xf numFmtId="166" fontId="4" fillId="6" borderId="22" xfId="0" applyNumberFormat="1" applyFont="1" applyFill="1" applyBorder="1" applyAlignment="1">
      <alignment horizontal="left" vertical="top" wrapText="1"/>
    </xf>
    <xf numFmtId="166" fontId="4" fillId="0" borderId="22" xfId="0" applyNumberFormat="1" applyFont="1" applyFill="1" applyBorder="1" applyAlignment="1">
      <alignment horizontal="left" vertical="top" wrapText="1"/>
    </xf>
    <xf numFmtId="0" fontId="5" fillId="5" borderId="22" xfId="0" applyFont="1" applyFill="1" applyBorder="1" applyAlignment="1">
      <alignment horizontal="left" vertical="top" wrapText="1"/>
    </xf>
    <xf numFmtId="0" fontId="6" fillId="0" borderId="21" xfId="0" applyFont="1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8" borderId="21" xfId="0" applyFill="1" applyBorder="1" applyAlignment="1">
      <alignment horizontal="left" vertical="top"/>
    </xf>
    <xf numFmtId="0" fontId="6" fillId="8" borderId="21" xfId="0" applyFont="1" applyFill="1" applyBorder="1" applyAlignment="1">
      <alignment horizontal="left" vertical="top"/>
    </xf>
    <xf numFmtId="0" fontId="1" fillId="0" borderId="21" xfId="0" applyFont="1" applyFill="1" applyBorder="1" applyAlignment="1">
      <alignment horizontal="center" vertical="top" wrapText="1"/>
    </xf>
    <xf numFmtId="0" fontId="1" fillId="0" borderId="21" xfId="0" applyFont="1" applyFill="1" applyBorder="1" applyAlignment="1">
      <alignment horizontal="left" vertical="top" wrapText="1"/>
    </xf>
    <xf numFmtId="0" fontId="0" fillId="2" borderId="21" xfId="0" applyFill="1" applyBorder="1" applyAlignment="1">
      <alignment horizontal="left" vertical="top" wrapText="1"/>
    </xf>
    <xf numFmtId="0" fontId="9" fillId="4" borderId="4" xfId="0" applyFont="1" applyFill="1" applyBorder="1" applyAlignment="1">
      <alignment horizontal="left" vertical="top" wrapText="1"/>
    </xf>
    <xf numFmtId="0" fontId="8" fillId="6" borderId="8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/>
    </xf>
    <xf numFmtId="0" fontId="0" fillId="4" borderId="10" xfId="0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2" fillId="5" borderId="10" xfId="0" applyFont="1" applyFill="1" applyBorder="1" applyAlignment="1">
      <alignment horizontal="left" vertical="top" wrapText="1"/>
    </xf>
    <xf numFmtId="0" fontId="2" fillId="5" borderId="10" xfId="0" applyFont="1" applyFill="1" applyBorder="1" applyAlignment="1">
      <alignment horizontal="center" vertical="top" wrapText="1"/>
    </xf>
    <xf numFmtId="0" fontId="2" fillId="5" borderId="12" xfId="0" applyFont="1" applyFill="1" applyBorder="1" applyAlignment="1">
      <alignment horizontal="left" vertical="top" wrapText="1"/>
    </xf>
    <xf numFmtId="0" fontId="0" fillId="0" borderId="19" xfId="0" applyFill="1" applyBorder="1" applyAlignment="1">
      <alignment horizontal="left" vertical="top"/>
    </xf>
    <xf numFmtId="0" fontId="0" fillId="8" borderId="19" xfId="0" applyFill="1" applyBorder="1" applyAlignment="1">
      <alignment horizontal="left" vertical="top"/>
    </xf>
    <xf numFmtId="0" fontId="1" fillId="0" borderId="19" xfId="0" applyFont="1" applyFill="1" applyBorder="1" applyAlignment="1">
      <alignment horizontal="center" vertical="top" wrapText="1"/>
    </xf>
    <xf numFmtId="0" fontId="8" fillId="5" borderId="10" xfId="0" applyFont="1" applyFill="1" applyBorder="1" applyAlignment="1">
      <alignment horizontal="left" vertical="top" wrapText="1"/>
    </xf>
    <xf numFmtId="0" fontId="2" fillId="5" borderId="17" xfId="0" applyFont="1" applyFill="1" applyBorder="1" applyAlignment="1">
      <alignment horizontal="left" vertical="top" wrapText="1"/>
    </xf>
    <xf numFmtId="165" fontId="3" fillId="4" borderId="21" xfId="0" applyNumberFormat="1" applyFont="1" applyFill="1" applyBorder="1" applyAlignment="1">
      <alignment horizontal="left" vertical="top" wrapText="1"/>
    </xf>
    <xf numFmtId="165" fontId="4" fillId="0" borderId="21" xfId="0" applyNumberFormat="1" applyFont="1" applyFill="1" applyBorder="1" applyAlignment="1">
      <alignment horizontal="left" vertical="top" wrapText="1"/>
    </xf>
    <xf numFmtId="165" fontId="4" fillId="8" borderId="21" xfId="0" applyNumberFormat="1" applyFont="1" applyFill="1" applyBorder="1" applyAlignment="1">
      <alignment horizontal="left" vertical="top" wrapText="1"/>
    </xf>
    <xf numFmtId="165" fontId="4" fillId="9" borderId="21" xfId="0" applyNumberFormat="1" applyFont="1" applyFill="1" applyBorder="1" applyAlignment="1">
      <alignment horizontal="left" vertical="top" wrapText="1"/>
    </xf>
    <xf numFmtId="0" fontId="10" fillId="0" borderId="21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/>
    </xf>
    <xf numFmtId="0" fontId="5" fillId="5" borderId="10" xfId="0" applyFont="1" applyFill="1" applyBorder="1" applyAlignment="1">
      <alignment horizontal="left" vertical="top" wrapText="1"/>
    </xf>
    <xf numFmtId="165" fontId="4" fillId="8" borderId="27" xfId="0" applyNumberFormat="1" applyFont="1" applyFill="1" applyBorder="1" applyAlignment="1">
      <alignment horizontal="left" vertical="top" wrapText="1"/>
    </xf>
    <xf numFmtId="0" fontId="2" fillId="8" borderId="27" xfId="0" applyFont="1" applyFill="1" applyBorder="1" applyAlignment="1">
      <alignment horizontal="left" vertical="top" wrapText="1"/>
    </xf>
    <xf numFmtId="0" fontId="4" fillId="8" borderId="27" xfId="0" applyFont="1" applyFill="1" applyBorder="1"/>
    <xf numFmtId="0" fontId="2" fillId="8" borderId="27" xfId="0" applyFont="1" applyFill="1" applyBorder="1" applyAlignment="1">
      <alignment horizontal="center" vertical="top" wrapText="1"/>
    </xf>
    <xf numFmtId="165" fontId="4" fillId="10" borderId="25" xfId="0" applyNumberFormat="1" applyFont="1" applyFill="1" applyBorder="1" applyAlignment="1">
      <alignment horizontal="left" vertical="top" wrapText="1"/>
    </xf>
    <xf numFmtId="0" fontId="8" fillId="10" borderId="25" xfId="0" applyFont="1" applyFill="1" applyBorder="1" applyAlignment="1">
      <alignment horizontal="left" vertical="top" wrapText="1"/>
    </xf>
    <xf numFmtId="0" fontId="4" fillId="10" borderId="25" xfId="0" applyFont="1" applyFill="1" applyBorder="1" applyAlignment="1">
      <alignment horizontal="center"/>
    </xf>
    <xf numFmtId="0" fontId="8" fillId="10" borderId="25" xfId="0" applyFont="1" applyFill="1" applyBorder="1" applyAlignment="1">
      <alignment horizontal="center" vertical="top" wrapText="1"/>
    </xf>
    <xf numFmtId="166" fontId="4" fillId="10" borderId="25" xfId="0" applyNumberFormat="1" applyFont="1" applyFill="1" applyBorder="1" applyAlignment="1">
      <alignment horizontal="left" vertical="top" wrapText="1"/>
    </xf>
    <xf numFmtId="166" fontId="4" fillId="10" borderId="24" xfId="0" applyNumberFormat="1" applyFont="1" applyFill="1" applyBorder="1" applyAlignment="1">
      <alignment horizontal="center" vertical="top" wrapText="1"/>
    </xf>
    <xf numFmtId="166" fontId="4" fillId="10" borderId="27" xfId="0" applyNumberFormat="1" applyFont="1" applyFill="1" applyBorder="1" applyAlignment="1">
      <alignment horizontal="left" vertical="top" wrapText="1"/>
    </xf>
    <xf numFmtId="0" fontId="8" fillId="10" borderId="27" xfId="0" applyFont="1" applyFill="1" applyBorder="1" applyAlignment="1">
      <alignment horizontal="center" vertical="top" wrapText="1"/>
    </xf>
    <xf numFmtId="166" fontId="4" fillId="10" borderId="23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vertical="top"/>
    </xf>
    <xf numFmtId="0" fontId="2" fillId="0" borderId="0" xfId="0" applyFont="1" applyFill="1" applyBorder="1" applyAlignment="1">
      <alignment horizontal="left" vertical="top"/>
    </xf>
    <xf numFmtId="0" fontId="2" fillId="8" borderId="0" xfId="0" applyFont="1" applyFill="1" applyBorder="1" applyAlignment="1">
      <alignment horizontal="left" vertical="top"/>
    </xf>
    <xf numFmtId="0" fontId="0" fillId="8" borderId="0" xfId="0" applyFill="1" applyBorder="1" applyAlignment="1">
      <alignment horizontal="right" vertical="top"/>
    </xf>
    <xf numFmtId="0" fontId="1" fillId="0" borderId="33" xfId="0" applyFont="1" applyFill="1" applyBorder="1" applyAlignment="1">
      <alignment horizontal="left" vertical="top" wrapText="1"/>
    </xf>
    <xf numFmtId="0" fontId="0" fillId="0" borderId="34" xfId="0" applyFill="1" applyBorder="1" applyAlignment="1">
      <alignment horizontal="left" vertical="top" wrapText="1"/>
    </xf>
    <xf numFmtId="0" fontId="0" fillId="0" borderId="35" xfId="0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36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5" borderId="40" xfId="0" applyFont="1" applyFill="1" applyBorder="1" applyAlignment="1">
      <alignment horizontal="left" vertical="top" wrapText="1"/>
    </xf>
    <xf numFmtId="0" fontId="2" fillId="6" borderId="42" xfId="0" applyFont="1" applyFill="1" applyBorder="1" applyAlignment="1">
      <alignment horizontal="left" vertical="top" wrapText="1"/>
    </xf>
    <xf numFmtId="0" fontId="2" fillId="6" borderId="42" xfId="0" applyFont="1" applyFill="1" applyBorder="1" applyAlignment="1">
      <alignment horizontal="center" vertical="top" wrapText="1"/>
    </xf>
    <xf numFmtId="166" fontId="4" fillId="6" borderId="42" xfId="0" applyNumberFormat="1" applyFont="1" applyFill="1" applyBorder="1" applyAlignment="1">
      <alignment horizontal="left" vertical="top" wrapText="1"/>
    </xf>
    <xf numFmtId="0" fontId="2" fillId="5" borderId="42" xfId="0" applyFont="1" applyFill="1" applyBorder="1" applyAlignment="1">
      <alignment horizontal="left" vertical="top" wrapText="1"/>
    </xf>
    <xf numFmtId="166" fontId="4" fillId="0" borderId="42" xfId="0" applyNumberFormat="1" applyFont="1" applyFill="1" applyBorder="1" applyAlignment="1">
      <alignment horizontal="left" vertical="top" wrapText="1"/>
    </xf>
    <xf numFmtId="0" fontId="5" fillId="5" borderId="42" xfId="0" applyFont="1" applyFill="1" applyBorder="1" applyAlignment="1">
      <alignment horizontal="left" vertical="top" wrapText="1"/>
    </xf>
    <xf numFmtId="165" fontId="4" fillId="0" borderId="24" xfId="0" applyNumberFormat="1" applyFont="1" applyFill="1" applyBorder="1" applyAlignment="1">
      <alignment horizontal="left" vertical="top" wrapText="1"/>
    </xf>
    <xf numFmtId="0" fontId="6" fillId="0" borderId="30" xfId="0" applyFont="1" applyFill="1" applyBorder="1" applyAlignment="1">
      <alignment horizontal="left" vertical="top"/>
    </xf>
    <xf numFmtId="0" fontId="0" fillId="0" borderId="45" xfId="0" applyFill="1" applyBorder="1" applyAlignment="1">
      <alignment horizontal="left" vertical="top"/>
    </xf>
    <xf numFmtId="0" fontId="0" fillId="0" borderId="44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169" fontId="9" fillId="8" borderId="21" xfId="0" applyNumberFormat="1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left" vertical="top" wrapText="1"/>
    </xf>
    <xf numFmtId="0" fontId="8" fillId="0" borderId="21" xfId="0" applyFont="1" applyFill="1" applyBorder="1" applyAlignment="1">
      <alignment horizontal="left" vertical="top" wrapText="1"/>
    </xf>
    <xf numFmtId="0" fontId="8" fillId="10" borderId="25" xfId="0" applyFont="1" applyFill="1" applyBorder="1" applyAlignment="1">
      <alignment horizontal="left" vertical="top" wrapText="1"/>
    </xf>
    <xf numFmtId="0" fontId="2" fillId="10" borderId="26" xfId="0" applyFont="1" applyFill="1" applyBorder="1" applyAlignment="1">
      <alignment horizontal="left" vertical="top" wrapText="1"/>
    </xf>
    <xf numFmtId="166" fontId="4" fillId="10" borderId="25" xfId="0" applyNumberFormat="1" applyFont="1" applyFill="1" applyBorder="1" applyAlignment="1">
      <alignment horizontal="left" vertical="top" wrapText="1"/>
    </xf>
    <xf numFmtId="166" fontId="4" fillId="10" borderId="30" xfId="0" applyNumberFormat="1" applyFont="1" applyFill="1" applyBorder="1" applyAlignment="1">
      <alignment horizontal="left" vertical="top" wrapText="1"/>
    </xf>
    <xf numFmtId="166" fontId="4" fillId="10" borderId="25" xfId="0" applyNumberFormat="1" applyFont="1" applyFill="1" applyBorder="1" applyAlignment="1">
      <alignment horizontal="center" vertical="top" wrapText="1"/>
    </xf>
    <xf numFmtId="166" fontId="4" fillId="10" borderId="30" xfId="0" applyNumberFormat="1" applyFont="1" applyFill="1" applyBorder="1" applyAlignment="1">
      <alignment horizontal="center" vertical="top" wrapText="1"/>
    </xf>
    <xf numFmtId="0" fontId="2" fillId="6" borderId="14" xfId="0" applyFont="1" applyFill="1" applyBorder="1" applyAlignment="1">
      <alignment horizontal="left" vertical="top" wrapText="1"/>
    </xf>
    <xf numFmtId="0" fontId="2" fillId="6" borderId="12" xfId="0" applyFont="1" applyFill="1" applyBorder="1" applyAlignment="1">
      <alignment horizontal="left" vertical="top" wrapText="1"/>
    </xf>
    <xf numFmtId="166" fontId="4" fillId="0" borderId="14" xfId="0" applyNumberFormat="1" applyFont="1" applyFill="1" applyBorder="1" applyAlignment="1">
      <alignment horizontal="left" vertical="top" wrapText="1"/>
    </xf>
    <xf numFmtId="166" fontId="4" fillId="0" borderId="12" xfId="0" applyNumberFormat="1" applyFont="1" applyFill="1" applyBorder="1" applyAlignment="1">
      <alignment horizontal="left" vertical="top" wrapText="1"/>
    </xf>
    <xf numFmtId="166" fontId="4" fillId="0" borderId="13" xfId="0" applyNumberFormat="1" applyFont="1" applyFill="1" applyBorder="1" applyAlignment="1">
      <alignment horizontal="left" vertical="top" wrapText="1"/>
    </xf>
    <xf numFmtId="166" fontId="4" fillId="0" borderId="9" xfId="0" applyNumberFormat="1" applyFont="1" applyFill="1" applyBorder="1" applyAlignment="1">
      <alignment horizontal="left" vertical="top" wrapText="1"/>
    </xf>
    <xf numFmtId="166" fontId="4" fillId="0" borderId="10" xfId="0" applyNumberFormat="1" applyFont="1" applyFill="1" applyBorder="1" applyAlignment="1">
      <alignment horizontal="left" vertical="top" wrapText="1"/>
    </xf>
    <xf numFmtId="166" fontId="4" fillId="0" borderId="11" xfId="0" applyNumberFormat="1" applyFont="1" applyFill="1" applyBorder="1" applyAlignment="1">
      <alignment horizontal="left" vertical="top" wrapText="1"/>
    </xf>
    <xf numFmtId="167" fontId="4" fillId="6" borderId="9" xfId="0" applyNumberFormat="1" applyFont="1" applyFill="1" applyBorder="1" applyAlignment="1">
      <alignment horizontal="center" vertical="top" wrapText="1"/>
    </xf>
    <xf numFmtId="167" fontId="4" fillId="6" borderId="10" xfId="0" applyNumberFormat="1" applyFont="1" applyFill="1" applyBorder="1" applyAlignment="1">
      <alignment horizontal="center" vertical="top" wrapText="1"/>
    </xf>
    <xf numFmtId="0" fontId="0" fillId="4" borderId="9" xfId="0" applyFill="1" applyBorder="1" applyAlignment="1">
      <alignment horizontal="left" vertical="top" wrapText="1"/>
    </xf>
    <xf numFmtId="0" fontId="0" fillId="4" borderId="10" xfId="0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right" vertical="top" wrapText="1"/>
    </xf>
    <xf numFmtId="0" fontId="1" fillId="4" borderId="7" xfId="0" applyFont="1" applyFill="1" applyBorder="1" applyAlignment="1">
      <alignment horizontal="right" vertical="top" wrapText="1"/>
    </xf>
    <xf numFmtId="0" fontId="1" fillId="4" borderId="6" xfId="0" applyFont="1" applyFill="1" applyBorder="1" applyAlignment="1">
      <alignment horizontal="right" vertical="top" wrapText="1"/>
    </xf>
    <xf numFmtId="0" fontId="2" fillId="8" borderId="21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2" fillId="6" borderId="9" xfId="0" applyFont="1" applyFill="1" applyBorder="1" applyAlignment="1">
      <alignment horizontal="left" vertical="top" wrapText="1"/>
    </xf>
    <xf numFmtId="0" fontId="2" fillId="6" borderId="10" xfId="0" applyFont="1" applyFill="1" applyBorder="1" applyAlignment="1">
      <alignment horizontal="left" vertical="top" wrapText="1"/>
    </xf>
    <xf numFmtId="165" fontId="3" fillId="3" borderId="13" xfId="0" applyNumberFormat="1" applyFont="1" applyFill="1" applyBorder="1" applyAlignment="1">
      <alignment horizontal="left" vertical="top" wrapText="1"/>
    </xf>
    <xf numFmtId="165" fontId="3" fillId="3" borderId="12" xfId="0" applyNumberFormat="1" applyFont="1" applyFill="1" applyBorder="1" applyAlignment="1">
      <alignment horizontal="left" vertical="top" wrapText="1"/>
    </xf>
    <xf numFmtId="0" fontId="1" fillId="3" borderId="14" xfId="0" applyFont="1" applyFill="1" applyBorder="1" applyAlignment="1">
      <alignment horizontal="left" vertical="top" wrapText="1"/>
    </xf>
    <xf numFmtId="0" fontId="1" fillId="3" borderId="13" xfId="0" applyFont="1" applyFill="1" applyBorder="1" applyAlignment="1">
      <alignment horizontal="left" vertical="top" wrapText="1"/>
    </xf>
    <xf numFmtId="0" fontId="1" fillId="3" borderId="12" xfId="0" applyFont="1" applyFill="1" applyBorder="1" applyAlignment="1">
      <alignment horizontal="left" vertical="top" wrapText="1"/>
    </xf>
    <xf numFmtId="166" fontId="1" fillId="3" borderId="14" xfId="0" applyNumberFormat="1" applyFont="1" applyFill="1" applyBorder="1" applyAlignment="1">
      <alignment horizontal="right" vertical="top" wrapText="1"/>
    </xf>
    <xf numFmtId="0" fontId="1" fillId="3" borderId="13" xfId="0" applyFont="1" applyFill="1" applyBorder="1" applyAlignment="1">
      <alignment horizontal="right" vertical="top" wrapText="1"/>
    </xf>
    <xf numFmtId="0" fontId="1" fillId="3" borderId="12" xfId="0" applyFont="1" applyFill="1" applyBorder="1" applyAlignment="1">
      <alignment horizontal="right" vertical="top" wrapText="1"/>
    </xf>
    <xf numFmtId="166" fontId="4" fillId="0" borderId="9" xfId="0" applyNumberFormat="1" applyFont="1" applyFill="1" applyBorder="1" applyAlignment="1">
      <alignment horizontal="right" vertical="top" wrapText="1"/>
    </xf>
    <xf numFmtId="166" fontId="4" fillId="0" borderId="10" xfId="0" applyNumberFormat="1" applyFont="1" applyFill="1" applyBorder="1" applyAlignment="1">
      <alignment horizontal="right" vertical="top" wrapText="1"/>
    </xf>
    <xf numFmtId="164" fontId="1" fillId="3" borderId="14" xfId="0" applyNumberFormat="1" applyFont="1" applyFill="1" applyBorder="1" applyAlignment="1">
      <alignment horizontal="right" vertical="top" wrapText="1"/>
    </xf>
    <xf numFmtId="0" fontId="1" fillId="4" borderId="9" xfId="0" applyFont="1" applyFill="1" applyBorder="1" applyAlignment="1">
      <alignment horizontal="right" vertical="top" wrapText="1"/>
    </xf>
    <xf numFmtId="0" fontId="1" fillId="4" borderId="11" xfId="0" applyFont="1" applyFill="1" applyBorder="1" applyAlignment="1">
      <alignment horizontal="right" vertical="top" wrapText="1"/>
    </xf>
    <xf numFmtId="0" fontId="1" fillId="4" borderId="10" xfId="0" applyFont="1" applyFill="1" applyBorder="1" applyAlignment="1">
      <alignment horizontal="right" vertical="top" wrapText="1"/>
    </xf>
    <xf numFmtId="2" fontId="1" fillId="3" borderId="14" xfId="0" applyNumberFormat="1" applyFont="1" applyFill="1" applyBorder="1" applyAlignment="1">
      <alignment horizontal="right" vertical="top" wrapText="1"/>
    </xf>
    <xf numFmtId="168" fontId="4" fillId="6" borderId="9" xfId="0" applyNumberFormat="1" applyFont="1" applyFill="1" applyBorder="1" applyAlignment="1">
      <alignment horizontal="center" vertical="top" wrapText="1"/>
    </xf>
    <xf numFmtId="168" fontId="4" fillId="6" borderId="10" xfId="0" applyNumberFormat="1" applyFont="1" applyFill="1" applyBorder="1" applyAlignment="1">
      <alignment horizontal="center" vertical="top" wrapText="1"/>
    </xf>
    <xf numFmtId="4" fontId="1" fillId="3" borderId="14" xfId="0" applyNumberFormat="1" applyFont="1" applyFill="1" applyBorder="1" applyAlignment="1">
      <alignment horizontal="right" vertical="top" wrapText="1"/>
    </xf>
    <xf numFmtId="0" fontId="0" fillId="4" borderId="9" xfId="0" applyFill="1" applyBorder="1" applyAlignment="1">
      <alignment horizontal="right" vertical="top" wrapText="1"/>
    </xf>
    <xf numFmtId="0" fontId="0" fillId="4" borderId="10" xfId="0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0" fontId="2" fillId="8" borderId="27" xfId="0" applyFont="1" applyFill="1" applyBorder="1" applyAlignment="1">
      <alignment horizontal="left" vertical="top" wrapText="1"/>
    </xf>
    <xf numFmtId="0" fontId="2" fillId="8" borderId="29" xfId="0" applyFont="1" applyFill="1" applyBorder="1" applyAlignment="1">
      <alignment horizontal="left" vertical="top" wrapText="1"/>
    </xf>
    <xf numFmtId="166" fontId="4" fillId="8" borderId="27" xfId="0" applyNumberFormat="1" applyFont="1" applyFill="1" applyBorder="1" applyAlignment="1">
      <alignment horizontal="left" vertical="top" wrapText="1"/>
    </xf>
    <xf numFmtId="166" fontId="4" fillId="8" borderId="28" xfId="0" applyNumberFormat="1" applyFont="1" applyFill="1" applyBorder="1" applyAlignment="1">
      <alignment horizontal="left" vertical="top" wrapText="1"/>
    </xf>
    <xf numFmtId="166" fontId="4" fillId="10" borderId="27" xfId="0" applyNumberFormat="1" applyFont="1" applyFill="1" applyBorder="1" applyAlignment="1">
      <alignment horizontal="center" vertical="top" wrapText="1"/>
    </xf>
    <xf numFmtId="166" fontId="4" fillId="10" borderId="28" xfId="0" applyNumberFormat="1" applyFont="1" applyFill="1" applyBorder="1" applyAlignment="1">
      <alignment horizontal="center" vertical="top" wrapText="1"/>
    </xf>
    <xf numFmtId="0" fontId="0" fillId="0" borderId="31" xfId="0" applyFill="1" applyBorder="1" applyAlignment="1">
      <alignment horizontal="left" vertical="top" wrapText="1"/>
    </xf>
    <xf numFmtId="0" fontId="0" fillId="0" borderId="34" xfId="0" applyFill="1" applyBorder="1" applyAlignment="1">
      <alignment horizontal="left" vertical="top" wrapText="1"/>
    </xf>
    <xf numFmtId="0" fontId="7" fillId="0" borderId="34" xfId="0" applyFont="1" applyFill="1" applyBorder="1" applyAlignment="1">
      <alignment horizontal="center" vertical="top" wrapText="1"/>
    </xf>
    <xf numFmtId="0" fontId="0" fillId="0" borderId="34" xfId="0" applyFill="1" applyBorder="1" applyAlignment="1">
      <alignment horizontal="center" vertical="top" wrapText="1"/>
    </xf>
    <xf numFmtId="0" fontId="0" fillId="0" borderId="32" xfId="0" applyFill="1" applyBorder="1" applyAlignment="1">
      <alignment horizontal="left" vertical="top" wrapText="1"/>
    </xf>
    <xf numFmtId="0" fontId="8" fillId="0" borderId="34" xfId="0" applyFont="1" applyFill="1" applyBorder="1" applyAlignment="1">
      <alignment horizontal="left" vertical="top" wrapText="1"/>
    </xf>
    <xf numFmtId="0" fontId="9" fillId="0" borderId="31" xfId="0" applyFont="1" applyFill="1" applyBorder="1" applyAlignment="1">
      <alignment horizontal="left" vertical="top" wrapText="1"/>
    </xf>
    <xf numFmtId="0" fontId="0" fillId="0" borderId="35" xfId="0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0" fillId="0" borderId="21" xfId="0" applyFill="1" applyBorder="1" applyAlignment="1">
      <alignment horizontal="left" vertical="top" wrapText="1"/>
    </xf>
    <xf numFmtId="0" fontId="9" fillId="2" borderId="21" xfId="0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left" vertical="top" wrapText="1"/>
    </xf>
    <xf numFmtId="0" fontId="0" fillId="2" borderId="21" xfId="0" applyFill="1" applyBorder="1" applyAlignment="1">
      <alignment horizontal="left" vertical="top" wrapText="1"/>
    </xf>
    <xf numFmtId="165" fontId="3" fillId="3" borderId="0" xfId="0" applyNumberFormat="1" applyFont="1" applyFill="1" applyBorder="1" applyAlignment="1">
      <alignment horizontal="left" vertical="top" wrapText="1"/>
    </xf>
    <xf numFmtId="165" fontId="3" fillId="3" borderId="3" xfId="0" applyNumberFormat="1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169" fontId="1" fillId="3" borderId="2" xfId="0" applyNumberFormat="1" applyFont="1" applyFill="1" applyBorder="1" applyAlignment="1">
      <alignment horizontal="right" vertical="top" wrapText="1"/>
    </xf>
    <xf numFmtId="169" fontId="1" fillId="3" borderId="0" xfId="0" applyNumberFormat="1" applyFont="1" applyFill="1" applyBorder="1" applyAlignment="1">
      <alignment horizontal="right" vertical="top" wrapText="1"/>
    </xf>
    <xf numFmtId="169" fontId="1" fillId="3" borderId="3" xfId="0" applyNumberFormat="1" applyFont="1" applyFill="1" applyBorder="1" applyAlignment="1">
      <alignment horizontal="right" vertical="top" wrapText="1"/>
    </xf>
    <xf numFmtId="169" fontId="1" fillId="3" borderId="14" xfId="0" applyNumberFormat="1" applyFont="1" applyFill="1" applyBorder="1" applyAlignment="1">
      <alignment horizontal="right" vertical="top" wrapText="1"/>
    </xf>
    <xf numFmtId="169" fontId="1" fillId="3" borderId="13" xfId="0" applyNumberFormat="1" applyFont="1" applyFill="1" applyBorder="1" applyAlignment="1">
      <alignment horizontal="right" vertical="top" wrapText="1"/>
    </xf>
    <xf numFmtId="169" fontId="1" fillId="3" borderId="12" xfId="0" applyNumberFormat="1" applyFont="1" applyFill="1" applyBorder="1" applyAlignment="1">
      <alignment horizontal="right" vertical="top" wrapText="1"/>
    </xf>
    <xf numFmtId="0" fontId="9" fillId="3" borderId="14" xfId="0" applyFont="1" applyFill="1" applyBorder="1" applyAlignment="1">
      <alignment horizontal="left" vertical="top" wrapText="1"/>
    </xf>
    <xf numFmtId="0" fontId="8" fillId="6" borderId="9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8" borderId="0" xfId="0" applyFill="1" applyBorder="1" applyAlignment="1">
      <alignment horizontal="left" vertical="top" wrapText="1"/>
    </xf>
    <xf numFmtId="0" fontId="1" fillId="8" borderId="0" xfId="0" applyFont="1" applyFill="1" applyBorder="1" applyAlignment="1">
      <alignment horizontal="left" vertical="top" wrapText="1"/>
    </xf>
    <xf numFmtId="0" fontId="2" fillId="8" borderId="0" xfId="0" applyFont="1" applyFill="1" applyBorder="1" applyAlignment="1">
      <alignment horizontal="left" vertical="top" wrapText="1"/>
    </xf>
    <xf numFmtId="165" fontId="3" fillId="7" borderId="18" xfId="0" applyNumberFormat="1" applyFont="1" applyFill="1" applyBorder="1" applyAlignment="1">
      <alignment horizontal="center" vertical="top" wrapText="1"/>
    </xf>
    <xf numFmtId="165" fontId="4" fillId="7" borderId="20" xfId="0" applyNumberFormat="1" applyFont="1" applyFill="1" applyBorder="1" applyAlignment="1">
      <alignment horizontal="center" vertical="top" wrapText="1"/>
    </xf>
    <xf numFmtId="165" fontId="4" fillId="7" borderId="19" xfId="0" applyNumberFormat="1" applyFont="1" applyFill="1" applyBorder="1" applyAlignment="1">
      <alignment horizontal="center" vertical="top" wrapText="1"/>
    </xf>
    <xf numFmtId="164" fontId="11" fillId="7" borderId="18" xfId="0" applyNumberFormat="1" applyFont="1" applyFill="1" applyBorder="1" applyAlignment="1">
      <alignment horizontal="center" vertical="top"/>
    </xf>
    <xf numFmtId="164" fontId="11" fillId="7" borderId="20" xfId="0" applyNumberFormat="1" applyFont="1" applyFill="1" applyBorder="1" applyAlignment="1">
      <alignment horizontal="center" vertical="top"/>
    </xf>
    <xf numFmtId="164" fontId="11" fillId="7" borderId="19" xfId="0" applyNumberFormat="1" applyFont="1" applyFill="1" applyBorder="1" applyAlignment="1">
      <alignment horizontal="center" vertical="top"/>
    </xf>
    <xf numFmtId="164" fontId="3" fillId="4" borderId="5" xfId="0" applyNumberFormat="1" applyFont="1" applyFill="1" applyBorder="1" applyAlignment="1">
      <alignment horizontal="right" vertical="top" wrapText="1"/>
    </xf>
    <xf numFmtId="164" fontId="3" fillId="4" borderId="6" xfId="0" applyNumberFormat="1" applyFont="1" applyFill="1" applyBorder="1" applyAlignment="1">
      <alignment horizontal="right" vertical="top" wrapText="1"/>
    </xf>
    <xf numFmtId="164" fontId="4" fillId="0" borderId="9" xfId="0" applyNumberFormat="1" applyFont="1" applyFill="1" applyBorder="1" applyAlignment="1">
      <alignment horizontal="left" vertical="top"/>
    </xf>
    <xf numFmtId="164" fontId="4" fillId="0" borderId="10" xfId="0" applyNumberFormat="1" applyFont="1" applyFill="1" applyBorder="1" applyAlignment="1">
      <alignment horizontal="left" vertical="top"/>
    </xf>
    <xf numFmtId="167" fontId="4" fillId="6" borderId="16" xfId="0" applyNumberFormat="1" applyFont="1" applyFill="1" applyBorder="1" applyAlignment="1">
      <alignment horizontal="center" vertical="top" wrapText="1"/>
    </xf>
    <xf numFmtId="167" fontId="4" fillId="6" borderId="17" xfId="0" applyNumberFormat="1" applyFont="1" applyFill="1" applyBorder="1" applyAlignment="1">
      <alignment horizontal="center" vertical="top" wrapText="1"/>
    </xf>
    <xf numFmtId="166" fontId="4" fillId="0" borderId="16" xfId="0" applyNumberFormat="1" applyFont="1" applyFill="1" applyBorder="1" applyAlignment="1">
      <alignment horizontal="right" vertical="top" wrapText="1"/>
    </xf>
    <xf numFmtId="166" fontId="4" fillId="0" borderId="17" xfId="0" applyNumberFormat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2" fillId="6" borderId="41" xfId="0" applyFont="1" applyFill="1" applyBorder="1" applyAlignment="1">
      <alignment horizontal="left" vertical="top" wrapText="1"/>
    </xf>
    <xf numFmtId="0" fontId="2" fillId="6" borderId="40" xfId="0" applyFont="1" applyFill="1" applyBorder="1" applyAlignment="1">
      <alignment horizontal="left" vertical="top" wrapText="1"/>
    </xf>
    <xf numFmtId="166" fontId="4" fillId="0" borderId="41" xfId="0" applyNumberFormat="1" applyFont="1" applyFill="1" applyBorder="1" applyAlignment="1">
      <alignment horizontal="left" vertical="top" wrapText="1"/>
    </xf>
    <xf numFmtId="166" fontId="4" fillId="0" borderId="40" xfId="0" applyNumberFormat="1" applyFont="1" applyFill="1" applyBorder="1" applyAlignment="1">
      <alignment horizontal="left" vertical="top" wrapText="1"/>
    </xf>
    <xf numFmtId="166" fontId="4" fillId="0" borderId="43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41"/>
  <sheetViews>
    <sheetView tabSelected="1" topLeftCell="A7" zoomScale="130" zoomScaleNormal="130" workbookViewId="0">
      <selection activeCell="F198" sqref="F198"/>
    </sheetView>
  </sheetViews>
  <sheetFormatPr defaultColWidth="9.33203125" defaultRowHeight="12.75"/>
  <cols>
    <col min="1" max="1" width="10.5" style="67" customWidth="1"/>
    <col min="2" max="2" width="14" customWidth="1"/>
    <col min="3" max="3" width="11.5" customWidth="1"/>
    <col min="4" max="4" width="2.1640625" customWidth="1"/>
    <col min="5" max="5" width="57.1640625" customWidth="1"/>
    <col min="6" max="6" width="9.33203125" customWidth="1"/>
    <col min="7" max="7" width="8" customWidth="1"/>
    <col min="8" max="8" width="4.6640625" customWidth="1"/>
    <col min="9" max="9" width="12.6640625" customWidth="1"/>
    <col min="10" max="10" width="9.33203125" customWidth="1"/>
    <col min="11" max="11" width="4.83203125" customWidth="1"/>
    <col min="12" max="12" width="5.83203125" customWidth="1"/>
    <col min="13" max="13" width="8" customWidth="1"/>
    <col min="14" max="14" width="14" customWidth="1"/>
    <col min="15" max="15" width="3.33203125" customWidth="1"/>
    <col min="16" max="16" width="4.6640625" customWidth="1"/>
    <col min="17" max="17" width="12" bestFit="1" customWidth="1"/>
    <col min="19" max="19" width="12.6640625" customWidth="1"/>
    <col min="21" max="21" width="14" customWidth="1"/>
  </cols>
  <sheetData>
    <row r="1" spans="1:21" ht="72.75" customHeight="1" thickBot="1">
      <c r="A1" s="158" t="s">
        <v>208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</row>
    <row r="2" spans="1:21" ht="18" customHeight="1" thickBot="1">
      <c r="A2" s="196"/>
      <c r="B2" s="197"/>
      <c r="C2" s="197"/>
      <c r="D2" s="198" t="s">
        <v>209</v>
      </c>
      <c r="E2" s="199"/>
      <c r="F2" s="197"/>
      <c r="G2" s="197"/>
      <c r="H2" s="197"/>
      <c r="I2" s="197"/>
      <c r="J2" s="197"/>
      <c r="K2" s="197"/>
      <c r="L2" s="197"/>
      <c r="M2" s="114"/>
      <c r="N2" s="115"/>
      <c r="O2" s="132"/>
      <c r="U2" s="29" t="s">
        <v>0</v>
      </c>
    </row>
    <row r="3" spans="1:21" ht="18.75" customHeight="1" thickBot="1">
      <c r="A3" s="196"/>
      <c r="B3" s="200"/>
      <c r="C3" s="113" t="s">
        <v>1</v>
      </c>
      <c r="D3" s="201" t="s">
        <v>253</v>
      </c>
      <c r="E3" s="197"/>
      <c r="F3" s="202" t="s">
        <v>251</v>
      </c>
      <c r="G3" s="197"/>
      <c r="H3" s="197"/>
      <c r="I3" s="197"/>
      <c r="J3" s="197"/>
      <c r="K3" s="197"/>
      <c r="L3" s="203"/>
      <c r="M3" s="114"/>
      <c r="N3" s="115"/>
      <c r="O3" s="130"/>
      <c r="U3" s="30"/>
    </row>
    <row r="4" spans="1:21" ht="11.1" customHeight="1">
      <c r="A4" s="204" t="s">
        <v>2</v>
      </c>
      <c r="B4" s="205"/>
      <c r="C4" s="116" t="s">
        <v>3</v>
      </c>
      <c r="D4" s="206" t="s">
        <v>4</v>
      </c>
      <c r="E4" s="205"/>
      <c r="F4" s="204" t="s">
        <v>5</v>
      </c>
      <c r="G4" s="206"/>
      <c r="H4" s="206"/>
      <c r="I4" s="206"/>
      <c r="J4" s="206"/>
      <c r="K4" s="206"/>
      <c r="L4" s="206"/>
      <c r="M4" s="117" t="s">
        <v>6</v>
      </c>
      <c r="N4" s="118" t="s">
        <v>7</v>
      </c>
      <c r="O4" s="130"/>
      <c r="U4" s="1" t="s">
        <v>7</v>
      </c>
    </row>
    <row r="5" spans="1:21" ht="13.5" customHeight="1">
      <c r="A5" s="134" t="s">
        <v>8</v>
      </c>
      <c r="B5" s="134"/>
      <c r="C5" s="119" t="s">
        <v>9</v>
      </c>
      <c r="D5" s="135" t="s">
        <v>250</v>
      </c>
      <c r="E5" s="134"/>
      <c r="F5" s="134" t="s">
        <v>10</v>
      </c>
      <c r="G5" s="134"/>
      <c r="H5" s="134"/>
      <c r="I5" s="134"/>
      <c r="J5" s="134"/>
      <c r="K5" s="134"/>
      <c r="L5" s="134"/>
      <c r="M5" s="119" t="s">
        <v>11</v>
      </c>
      <c r="N5" s="120" t="s">
        <v>11</v>
      </c>
      <c r="O5" s="131"/>
      <c r="U5" s="1"/>
    </row>
    <row r="6" spans="1:21" ht="10.5" customHeight="1">
      <c r="A6" s="100" t="s">
        <v>234</v>
      </c>
      <c r="B6" s="101" t="s">
        <v>235</v>
      </c>
      <c r="C6" s="136" t="s">
        <v>236</v>
      </c>
      <c r="D6" s="137"/>
      <c r="E6" s="102" t="s">
        <v>237</v>
      </c>
      <c r="F6" s="103" t="s">
        <v>238</v>
      </c>
      <c r="G6" s="138" t="s">
        <v>239</v>
      </c>
      <c r="H6" s="139"/>
      <c r="I6" s="104" t="s">
        <v>240</v>
      </c>
      <c r="J6" s="103" t="s">
        <v>243</v>
      </c>
      <c r="K6" s="140" t="s">
        <v>244</v>
      </c>
      <c r="L6" s="141"/>
      <c r="M6" s="141"/>
      <c r="N6" s="105" t="s">
        <v>246</v>
      </c>
      <c r="O6" s="95"/>
      <c r="U6" s="1"/>
    </row>
    <row r="7" spans="1:21" ht="9" customHeight="1">
      <c r="A7" s="96"/>
      <c r="B7" s="97"/>
      <c r="C7" s="190"/>
      <c r="D7" s="191"/>
      <c r="E7" s="98"/>
      <c r="F7" s="99"/>
      <c r="G7" s="192"/>
      <c r="H7" s="193"/>
      <c r="I7" s="106" t="s">
        <v>241</v>
      </c>
      <c r="J7" s="107" t="s">
        <v>242</v>
      </c>
      <c r="K7" s="194" t="s">
        <v>245</v>
      </c>
      <c r="L7" s="195"/>
      <c r="M7" s="195"/>
      <c r="N7" s="108" t="s">
        <v>247</v>
      </c>
      <c r="O7" s="95"/>
      <c r="Q7" s="37">
        <v>0.113001</v>
      </c>
      <c r="R7">
        <v>1.2667999999999999</v>
      </c>
      <c r="U7" s="2" t="s">
        <v>11</v>
      </c>
    </row>
    <row r="8" spans="1:21" ht="60" hidden="1" customHeight="1">
      <c r="A8" s="93" t="s">
        <v>12</v>
      </c>
      <c r="B8" s="79" t="s">
        <v>13</v>
      </c>
      <c r="C8" s="182" t="s">
        <v>14</v>
      </c>
      <c r="D8" s="183"/>
      <c r="E8" s="78" t="s">
        <v>15</v>
      </c>
      <c r="F8" s="94" t="s">
        <v>16</v>
      </c>
      <c r="G8" s="182" t="s">
        <v>17</v>
      </c>
      <c r="H8" s="183"/>
      <c r="I8" s="94" t="s">
        <v>18</v>
      </c>
      <c r="J8" s="78" t="s">
        <v>19</v>
      </c>
      <c r="K8" s="182" t="s">
        <v>20</v>
      </c>
      <c r="L8" s="184"/>
      <c r="M8" s="183"/>
      <c r="N8" s="94" t="s">
        <v>21</v>
      </c>
      <c r="O8" s="185"/>
      <c r="S8" s="3" t="s">
        <v>18</v>
      </c>
      <c r="U8" s="3" t="s">
        <v>21</v>
      </c>
    </row>
    <row r="9" spans="1:21" ht="18.75" hidden="1" customHeight="1">
      <c r="A9" s="187" t="s">
        <v>22</v>
      </c>
      <c r="B9" s="188"/>
      <c r="C9" s="188"/>
      <c r="D9" s="188"/>
      <c r="E9" s="188"/>
      <c r="F9" s="4"/>
      <c r="G9" s="189"/>
      <c r="H9" s="189"/>
      <c r="I9" s="4"/>
      <c r="J9" s="4"/>
      <c r="K9" s="189"/>
      <c r="L9" s="189"/>
      <c r="M9" s="189"/>
      <c r="N9" s="5">
        <f>G10+G17+G36+G49+G56+G64+G70+G78+G95+G111+G129+G135+G146-0.01</f>
        <v>72333.995039253889</v>
      </c>
      <c r="O9" s="186"/>
      <c r="S9" s="31"/>
      <c r="U9" s="5">
        <v>81549.279999999999</v>
      </c>
    </row>
    <row r="10" spans="1:21" ht="18.75" hidden="1" customHeight="1">
      <c r="A10" s="162">
        <v>1</v>
      </c>
      <c r="B10" s="163"/>
      <c r="C10" s="164" t="s">
        <v>23</v>
      </c>
      <c r="D10" s="165"/>
      <c r="E10" s="165"/>
      <c r="F10" s="166"/>
      <c r="G10" s="176">
        <f>N11+N13</f>
        <v>504.90946321793217</v>
      </c>
      <c r="H10" s="168"/>
      <c r="I10" s="168"/>
      <c r="J10" s="168"/>
      <c r="K10" s="168"/>
      <c r="L10" s="168"/>
      <c r="M10" s="168"/>
      <c r="N10" s="168"/>
      <c r="O10" s="169"/>
    </row>
    <row r="11" spans="1:21" ht="20.25" hidden="1" customHeight="1">
      <c r="A11" s="88">
        <v>11</v>
      </c>
      <c r="B11" s="76"/>
      <c r="C11" s="152"/>
      <c r="D11" s="153"/>
      <c r="E11" s="7" t="s">
        <v>25</v>
      </c>
      <c r="F11" s="6"/>
      <c r="G11" s="152"/>
      <c r="H11" s="153"/>
      <c r="I11" s="8"/>
      <c r="J11" s="8"/>
      <c r="K11" s="154"/>
      <c r="L11" s="155"/>
      <c r="M11" s="156"/>
      <c r="N11" s="9">
        <f>N12</f>
        <v>259.24860487590399</v>
      </c>
      <c r="O11" s="6"/>
      <c r="S11" s="8"/>
      <c r="U11" s="9">
        <v>292.27999999999997</v>
      </c>
    </row>
    <row r="12" spans="1:21" ht="24.95" hidden="1" customHeight="1">
      <c r="A12" s="89">
        <v>111</v>
      </c>
      <c r="B12" s="80" t="s">
        <v>26</v>
      </c>
      <c r="C12" s="150">
        <v>98527</v>
      </c>
      <c r="D12" s="151"/>
      <c r="E12" s="11" t="s">
        <v>27</v>
      </c>
      <c r="F12" s="12" t="s">
        <v>28</v>
      </c>
      <c r="G12" s="170">
        <v>2</v>
      </c>
      <c r="H12" s="171"/>
      <c r="I12" s="13">
        <f>S12-(S12*$Q$7)</f>
        <v>102.32420464</v>
      </c>
      <c r="J12" s="10" t="s">
        <v>29</v>
      </c>
      <c r="K12" s="147">
        <f>I12*$R$7</f>
        <v>129.624302437952</v>
      </c>
      <c r="L12" s="149"/>
      <c r="M12" s="148"/>
      <c r="N12" s="14">
        <f>G12*K12</f>
        <v>259.24860487590399</v>
      </c>
      <c r="O12" s="15" t="s">
        <v>30</v>
      </c>
      <c r="S12" s="13">
        <v>115.36</v>
      </c>
      <c r="U12" s="14">
        <f>N12*R12</f>
        <v>0</v>
      </c>
    </row>
    <row r="13" spans="1:21" ht="12.75" hidden="1" customHeight="1">
      <c r="A13" s="88">
        <v>12</v>
      </c>
      <c r="B13" s="76"/>
      <c r="C13" s="152"/>
      <c r="D13" s="153"/>
      <c r="E13" s="16" t="s">
        <v>31</v>
      </c>
      <c r="F13" s="6"/>
      <c r="G13" s="152"/>
      <c r="H13" s="153"/>
      <c r="I13" s="6"/>
      <c r="J13" s="6"/>
      <c r="K13" s="173"/>
      <c r="L13" s="174"/>
      <c r="M13" s="175"/>
      <c r="N13" s="17">
        <f>SUM(N14:N16)+0.01</f>
        <v>245.66085834202818</v>
      </c>
      <c r="O13" s="6"/>
      <c r="S13" s="6"/>
      <c r="U13" s="17">
        <v>276.94</v>
      </c>
    </row>
    <row r="14" spans="1:21" ht="21.75" hidden="1" customHeight="1">
      <c r="A14" s="89">
        <v>121</v>
      </c>
      <c r="B14" s="80" t="s">
        <v>26</v>
      </c>
      <c r="C14" s="150">
        <v>97622</v>
      </c>
      <c r="D14" s="151"/>
      <c r="E14" s="11" t="s">
        <v>32</v>
      </c>
      <c r="F14" s="12" t="s">
        <v>33</v>
      </c>
      <c r="G14" s="170">
        <v>0.62</v>
      </c>
      <c r="H14" s="171"/>
      <c r="I14" s="13">
        <f>S14-(S14*$Q$7)</f>
        <v>31.284454730000004</v>
      </c>
      <c r="J14" s="10" t="s">
        <v>29</v>
      </c>
      <c r="K14" s="147">
        <f>I14*$R$7</f>
        <v>39.631147251964002</v>
      </c>
      <c r="L14" s="149"/>
      <c r="M14" s="148"/>
      <c r="N14" s="14">
        <f>G14*K14</f>
        <v>24.571311296217679</v>
      </c>
      <c r="O14" s="15" t="s">
        <v>30</v>
      </c>
      <c r="S14" s="13">
        <v>35.270000000000003</v>
      </c>
      <c r="U14" s="14">
        <f>N14*R14</f>
        <v>0</v>
      </c>
    </row>
    <row r="15" spans="1:21" ht="20.25" hidden="1" customHeight="1">
      <c r="A15" s="89">
        <v>122</v>
      </c>
      <c r="B15" s="80" t="s">
        <v>26</v>
      </c>
      <c r="C15" s="150">
        <v>97631</v>
      </c>
      <c r="D15" s="151"/>
      <c r="E15" s="11" t="s">
        <v>34</v>
      </c>
      <c r="F15" s="12" t="s">
        <v>35</v>
      </c>
      <c r="G15" s="147">
        <v>46.04</v>
      </c>
      <c r="H15" s="148"/>
      <c r="I15" s="13">
        <f t="shared" ref="I15:I16" si="0">S15-(S15*$Q$7)</f>
        <v>1.8538279099999999</v>
      </c>
      <c r="J15" s="10" t="s">
        <v>29</v>
      </c>
      <c r="K15" s="147">
        <f t="shared" ref="K15:K16" si="1">I15*$R$7</f>
        <v>2.348429196388</v>
      </c>
      <c r="L15" s="149"/>
      <c r="M15" s="148"/>
      <c r="N15" s="14">
        <f>G15*K15+0.11</f>
        <v>108.23168020170351</v>
      </c>
      <c r="O15" s="15" t="s">
        <v>30</v>
      </c>
      <c r="S15" s="18">
        <v>2.09</v>
      </c>
      <c r="U15" s="14">
        <f>N15*R15+0.11</f>
        <v>0.11</v>
      </c>
    </row>
    <row r="16" spans="1:21" ht="19.5" hidden="1" customHeight="1">
      <c r="A16" s="89">
        <v>123</v>
      </c>
      <c r="B16" s="80" t="s">
        <v>36</v>
      </c>
      <c r="C16" s="160" t="s">
        <v>37</v>
      </c>
      <c r="D16" s="161"/>
      <c r="E16" s="11" t="s">
        <v>38</v>
      </c>
      <c r="F16" s="12" t="s">
        <v>33</v>
      </c>
      <c r="G16" s="170">
        <v>2.95</v>
      </c>
      <c r="H16" s="171"/>
      <c r="I16" s="13">
        <f t="shared" si="0"/>
        <v>30.202315949999999</v>
      </c>
      <c r="J16" s="10" t="s">
        <v>29</v>
      </c>
      <c r="K16" s="147">
        <f t="shared" si="1"/>
        <v>38.260293845459998</v>
      </c>
      <c r="L16" s="149"/>
      <c r="M16" s="148"/>
      <c r="N16" s="14">
        <f>G16*K16+0.11-0.13</f>
        <v>112.847866844107</v>
      </c>
      <c r="O16" s="15" t="s">
        <v>30</v>
      </c>
      <c r="S16" s="13">
        <v>34.049999999999997</v>
      </c>
      <c r="U16" s="14">
        <f>N16*R16+0.11</f>
        <v>0.11</v>
      </c>
    </row>
    <row r="17" spans="1:21" ht="15.75" hidden="1" customHeight="1">
      <c r="A17" s="162">
        <v>2</v>
      </c>
      <c r="B17" s="163"/>
      <c r="C17" s="164" t="s">
        <v>39</v>
      </c>
      <c r="D17" s="165"/>
      <c r="E17" s="165"/>
      <c r="F17" s="166"/>
      <c r="G17" s="179">
        <f>N18+N27+N34</f>
        <v>6511.6829070258691</v>
      </c>
      <c r="H17" s="168"/>
      <c r="I17" s="168"/>
      <c r="J17" s="168"/>
      <c r="K17" s="168"/>
      <c r="L17" s="168"/>
      <c r="M17" s="168"/>
      <c r="N17" s="168"/>
      <c r="O17" s="169"/>
    </row>
    <row r="18" spans="1:21" ht="15.75" hidden="1" customHeight="1">
      <c r="A18" s="88">
        <v>21</v>
      </c>
      <c r="B18" s="76"/>
      <c r="C18" s="152"/>
      <c r="D18" s="153"/>
      <c r="E18" s="7" t="s">
        <v>40</v>
      </c>
      <c r="F18" s="6"/>
      <c r="G18" s="152"/>
      <c r="H18" s="153"/>
      <c r="I18" s="8"/>
      <c r="J18" s="8"/>
      <c r="K18" s="154"/>
      <c r="L18" s="155"/>
      <c r="M18" s="156"/>
      <c r="N18" s="17">
        <f>SUM(N19:N26)+0.01</f>
        <v>4730.5722913518503</v>
      </c>
      <c r="O18" s="6"/>
      <c r="S18" s="8"/>
      <c r="U18" s="19">
        <v>5333.25</v>
      </c>
    </row>
    <row r="19" spans="1:21" ht="24.75" hidden="1" customHeight="1">
      <c r="A19" s="89">
        <v>211</v>
      </c>
      <c r="B19" s="80" t="s">
        <v>26</v>
      </c>
      <c r="C19" s="150">
        <v>96523</v>
      </c>
      <c r="D19" s="151"/>
      <c r="E19" s="11" t="s">
        <v>41</v>
      </c>
      <c r="F19" s="12" t="s">
        <v>33</v>
      </c>
      <c r="G19" s="147">
        <v>12.94</v>
      </c>
      <c r="H19" s="148"/>
      <c r="I19" s="13">
        <f t="shared" ref="I19:I30" si="2">S19-(S19*$Q$7)</f>
        <v>55.801107089999995</v>
      </c>
      <c r="J19" s="10" t="s">
        <v>29</v>
      </c>
      <c r="K19" s="147">
        <f t="shared" ref="K19" si="3">I19*$R$7</f>
        <v>70.688842461611983</v>
      </c>
      <c r="L19" s="149"/>
      <c r="M19" s="148"/>
      <c r="N19" s="14">
        <f>G19*K19-0.06</f>
        <v>914.65362145325912</v>
      </c>
      <c r="O19" s="15" t="s">
        <v>30</v>
      </c>
      <c r="S19" s="13">
        <v>62.91</v>
      </c>
      <c r="U19" s="14">
        <f>N19*R19-0.06</f>
        <v>-0.06</v>
      </c>
    </row>
    <row r="20" spans="1:21" ht="21.75" hidden="1" customHeight="1">
      <c r="A20" s="89">
        <v>212</v>
      </c>
      <c r="B20" s="80" t="s">
        <v>36</v>
      </c>
      <c r="C20" s="160" t="s">
        <v>42</v>
      </c>
      <c r="D20" s="161"/>
      <c r="E20" s="11" t="s">
        <v>43</v>
      </c>
      <c r="F20" s="12" t="s">
        <v>35</v>
      </c>
      <c r="G20" s="147">
        <v>10.78</v>
      </c>
      <c r="H20" s="148"/>
      <c r="I20" s="13">
        <f t="shared" si="2"/>
        <v>5.6767935999999999</v>
      </c>
      <c r="J20" s="10" t="s">
        <v>29</v>
      </c>
      <c r="K20" s="147">
        <f t="shared" ref="K20:K26" si="4">I20*$R$7</f>
        <v>7.1913621324799992</v>
      </c>
      <c r="L20" s="149"/>
      <c r="M20" s="148"/>
      <c r="N20" s="14">
        <f>G20*K20+0.03</f>
        <v>77.552883788134395</v>
      </c>
      <c r="O20" s="15" t="s">
        <v>30</v>
      </c>
      <c r="S20" s="18">
        <v>6.4</v>
      </c>
      <c r="U20" s="14">
        <f>N20*R20+0.03</f>
        <v>0.03</v>
      </c>
    </row>
    <row r="21" spans="1:21" ht="20.25" hidden="1" customHeight="1">
      <c r="A21" s="89">
        <v>213</v>
      </c>
      <c r="B21" s="80" t="s">
        <v>26</v>
      </c>
      <c r="C21" s="150">
        <v>92793</v>
      </c>
      <c r="D21" s="151"/>
      <c r="E21" s="11" t="s">
        <v>44</v>
      </c>
      <c r="F21" s="12" t="s">
        <v>45</v>
      </c>
      <c r="G21" s="147">
        <v>119.23</v>
      </c>
      <c r="H21" s="148"/>
      <c r="I21" s="13">
        <f t="shared" si="2"/>
        <v>5.54374375</v>
      </c>
      <c r="J21" s="10" t="s">
        <v>29</v>
      </c>
      <c r="K21" s="147">
        <f t="shared" si="4"/>
        <v>7.0228145824999997</v>
      </c>
      <c r="L21" s="149"/>
      <c r="M21" s="148"/>
      <c r="N21" s="14">
        <f>G21*K21+0.3</f>
        <v>837.63018267147493</v>
      </c>
      <c r="O21" s="15" t="s">
        <v>30</v>
      </c>
      <c r="S21" s="18">
        <v>6.25</v>
      </c>
      <c r="U21" s="14">
        <f>N21*R21+0.3</f>
        <v>0.3</v>
      </c>
    </row>
    <row r="22" spans="1:21" ht="24.75" hidden="1" customHeight="1">
      <c r="A22" s="89">
        <v>214</v>
      </c>
      <c r="B22" s="80" t="s">
        <v>26</v>
      </c>
      <c r="C22" s="150">
        <v>92794</v>
      </c>
      <c r="D22" s="151"/>
      <c r="E22" s="11" t="s">
        <v>46</v>
      </c>
      <c r="F22" s="12" t="s">
        <v>45</v>
      </c>
      <c r="G22" s="147">
        <v>144.97</v>
      </c>
      <c r="H22" s="148"/>
      <c r="I22" s="13">
        <f t="shared" si="2"/>
        <v>4.5946548199999997</v>
      </c>
      <c r="J22" s="10" t="s">
        <v>29</v>
      </c>
      <c r="K22" s="147">
        <f t="shared" si="4"/>
        <v>5.8205087259759996</v>
      </c>
      <c r="L22" s="149"/>
      <c r="M22" s="148"/>
      <c r="N22" s="14">
        <f>G22*K22-0.3</f>
        <v>843.49915000474073</v>
      </c>
      <c r="O22" s="15" t="s">
        <v>30</v>
      </c>
      <c r="S22" s="18">
        <v>5.18</v>
      </c>
      <c r="U22" s="14">
        <f>N22*R22-0.3</f>
        <v>-0.3</v>
      </c>
    </row>
    <row r="23" spans="1:21" ht="26.25" hidden="1" customHeight="1">
      <c r="A23" s="89">
        <v>215</v>
      </c>
      <c r="B23" s="80" t="s">
        <v>26</v>
      </c>
      <c r="C23" s="150">
        <v>92791</v>
      </c>
      <c r="D23" s="151"/>
      <c r="E23" s="11" t="s">
        <v>47</v>
      </c>
      <c r="F23" s="12" t="s">
        <v>45</v>
      </c>
      <c r="G23" s="147">
        <v>34.35</v>
      </c>
      <c r="H23" s="148"/>
      <c r="I23" s="13">
        <f t="shared" si="2"/>
        <v>5.56148373</v>
      </c>
      <c r="J23" s="10" t="s">
        <v>29</v>
      </c>
      <c r="K23" s="147">
        <f t="shared" si="4"/>
        <v>7.0452875891639994</v>
      </c>
      <c r="L23" s="149"/>
      <c r="M23" s="148"/>
      <c r="N23" s="14">
        <f>G23*K23-0.1</f>
        <v>241.90562868778341</v>
      </c>
      <c r="O23" s="15" t="s">
        <v>30</v>
      </c>
      <c r="S23" s="18">
        <v>6.27</v>
      </c>
      <c r="U23" s="14">
        <f>N23*R23-0.1</f>
        <v>-0.1</v>
      </c>
    </row>
    <row r="24" spans="1:21" ht="24.95" hidden="1" customHeight="1">
      <c r="A24" s="89">
        <v>216</v>
      </c>
      <c r="B24" s="80" t="s">
        <v>26</v>
      </c>
      <c r="C24" s="150">
        <v>96535</v>
      </c>
      <c r="D24" s="151"/>
      <c r="E24" s="11" t="s">
        <v>48</v>
      </c>
      <c r="F24" s="12" t="s">
        <v>35</v>
      </c>
      <c r="G24" s="170">
        <v>4.26</v>
      </c>
      <c r="H24" s="171"/>
      <c r="I24" s="13">
        <f t="shared" si="2"/>
        <v>85.364783759999995</v>
      </c>
      <c r="J24" s="10" t="s">
        <v>29</v>
      </c>
      <c r="K24" s="147">
        <f t="shared" si="4"/>
        <v>108.14010806716799</v>
      </c>
      <c r="L24" s="149"/>
      <c r="M24" s="148"/>
      <c r="N24" s="14">
        <f>G24*K24+0.01</f>
        <v>460.68686036613559</v>
      </c>
      <c r="O24" s="15" t="s">
        <v>30</v>
      </c>
      <c r="S24" s="13">
        <v>96.24</v>
      </c>
      <c r="U24" s="14">
        <f>N24*R24+0.01</f>
        <v>0.01</v>
      </c>
    </row>
    <row r="25" spans="1:21" ht="22.5" hidden="1" customHeight="1">
      <c r="A25" s="89">
        <v>217</v>
      </c>
      <c r="B25" s="80" t="s">
        <v>26</v>
      </c>
      <c r="C25" s="150">
        <v>94965</v>
      </c>
      <c r="D25" s="151"/>
      <c r="E25" s="21" t="s">
        <v>49</v>
      </c>
      <c r="F25" s="12" t="s">
        <v>33</v>
      </c>
      <c r="G25" s="170">
        <v>3.32</v>
      </c>
      <c r="H25" s="171"/>
      <c r="I25" s="13">
        <f t="shared" si="2"/>
        <v>243.56105540999997</v>
      </c>
      <c r="J25" s="10" t="s">
        <v>29</v>
      </c>
      <c r="K25" s="147">
        <f t="shared" si="4"/>
        <v>308.54314499338795</v>
      </c>
      <c r="L25" s="149"/>
      <c r="M25" s="148"/>
      <c r="N25" s="14">
        <f>G25*K25</f>
        <v>1024.3632413780479</v>
      </c>
      <c r="O25" s="15" t="s">
        <v>30</v>
      </c>
      <c r="S25" s="13">
        <v>274.58999999999997</v>
      </c>
      <c r="U25" s="14">
        <f>N25*R25</f>
        <v>0</v>
      </c>
    </row>
    <row r="26" spans="1:21" ht="15.75" hidden="1" customHeight="1">
      <c r="A26" s="89">
        <v>218</v>
      </c>
      <c r="B26" s="80" t="s">
        <v>26</v>
      </c>
      <c r="C26" s="150">
        <v>96995</v>
      </c>
      <c r="D26" s="151"/>
      <c r="E26" s="11" t="s">
        <v>50</v>
      </c>
      <c r="F26" s="12" t="s">
        <v>33</v>
      </c>
      <c r="G26" s="170">
        <v>9.16</v>
      </c>
      <c r="H26" s="171"/>
      <c r="I26" s="13">
        <f t="shared" si="2"/>
        <v>28.463797910000004</v>
      </c>
      <c r="J26" s="10" t="s">
        <v>29</v>
      </c>
      <c r="K26" s="147">
        <f t="shared" si="4"/>
        <v>36.057939192388005</v>
      </c>
      <c r="L26" s="149"/>
      <c r="M26" s="148"/>
      <c r="N26" s="14">
        <f>G26*K26-0.02</f>
        <v>330.27072300227417</v>
      </c>
      <c r="O26" s="15" t="s">
        <v>30</v>
      </c>
      <c r="S26" s="13">
        <v>32.090000000000003</v>
      </c>
      <c r="U26" s="14">
        <f>N26*R26-0.02</f>
        <v>-0.02</v>
      </c>
    </row>
    <row r="27" spans="1:21" ht="11.25" hidden="1" customHeight="1">
      <c r="A27" s="88">
        <v>22</v>
      </c>
      <c r="B27" s="76"/>
      <c r="C27" s="152"/>
      <c r="D27" s="153"/>
      <c r="E27" s="16" t="s">
        <v>51</v>
      </c>
      <c r="F27" s="6"/>
      <c r="G27" s="152"/>
      <c r="H27" s="153"/>
      <c r="I27" s="6"/>
      <c r="J27" s="6"/>
      <c r="K27" s="173"/>
      <c r="L27" s="174"/>
      <c r="M27" s="175"/>
      <c r="N27" s="17">
        <f>SUM(N28:N33)-0.02</f>
        <v>1278.6839707202905</v>
      </c>
      <c r="O27" s="6"/>
      <c r="S27" s="6"/>
      <c r="U27" s="22">
        <v>1441.6</v>
      </c>
    </row>
    <row r="28" spans="1:21" ht="32.25" hidden="1" customHeight="1">
      <c r="A28" s="89">
        <v>221</v>
      </c>
      <c r="B28" s="80" t="s">
        <v>26</v>
      </c>
      <c r="C28" s="150">
        <v>96527</v>
      </c>
      <c r="D28" s="151"/>
      <c r="E28" s="11" t="s">
        <v>52</v>
      </c>
      <c r="F28" s="12" t="s">
        <v>33</v>
      </c>
      <c r="G28" s="170">
        <v>0.56000000000000005</v>
      </c>
      <c r="H28" s="171"/>
      <c r="I28" s="13">
        <f t="shared" si="2"/>
        <v>73.133067550000007</v>
      </c>
      <c r="J28" s="10" t="s">
        <v>29</v>
      </c>
      <c r="K28" s="147">
        <f t="shared" ref="K28" si="5">I28*$R$7</f>
        <v>92.644969972340007</v>
      </c>
      <c r="L28" s="149"/>
      <c r="M28" s="148"/>
      <c r="N28" s="14">
        <f>G28*K28</f>
        <v>51.881183184510412</v>
      </c>
      <c r="O28" s="15" t="s">
        <v>30</v>
      </c>
      <c r="S28" s="13">
        <v>82.45</v>
      </c>
      <c r="U28" s="14">
        <f>N28*R28</f>
        <v>0</v>
      </c>
    </row>
    <row r="29" spans="1:21" ht="24" hidden="1" customHeight="1">
      <c r="A29" s="89">
        <v>222</v>
      </c>
      <c r="B29" s="80" t="s">
        <v>26</v>
      </c>
      <c r="C29" s="150">
        <v>92793</v>
      </c>
      <c r="D29" s="151"/>
      <c r="E29" s="11" t="s">
        <v>44</v>
      </c>
      <c r="F29" s="12" t="s">
        <v>45</v>
      </c>
      <c r="G29" s="147">
        <v>29.52</v>
      </c>
      <c r="H29" s="148"/>
      <c r="I29" s="13">
        <f t="shared" si="2"/>
        <v>5.54374375</v>
      </c>
      <c r="J29" s="10" t="s">
        <v>29</v>
      </c>
      <c r="K29" s="147">
        <f t="shared" ref="K29:K30" si="6">I29*$R$7</f>
        <v>7.0228145824999997</v>
      </c>
      <c r="L29" s="149"/>
      <c r="M29" s="148"/>
      <c r="N29" s="14">
        <f>G29*K29+0.08</f>
        <v>207.39348647540001</v>
      </c>
      <c r="O29" s="15" t="s">
        <v>30</v>
      </c>
      <c r="S29" s="18">
        <v>6.25</v>
      </c>
      <c r="U29" s="14">
        <f>N29*R29+0.08</f>
        <v>0.08</v>
      </c>
    </row>
    <row r="30" spans="1:21" ht="21" hidden="1" customHeight="1">
      <c r="A30" s="89">
        <v>223</v>
      </c>
      <c r="B30" s="80" t="s">
        <v>26</v>
      </c>
      <c r="C30" s="150">
        <v>92794</v>
      </c>
      <c r="D30" s="151"/>
      <c r="E30" s="11" t="s">
        <v>46</v>
      </c>
      <c r="F30" s="12" t="s">
        <v>45</v>
      </c>
      <c r="G30" s="147">
        <v>46.11</v>
      </c>
      <c r="H30" s="148"/>
      <c r="I30" s="13">
        <f t="shared" si="2"/>
        <v>4.5946548199999997</v>
      </c>
      <c r="J30" s="10" t="s">
        <v>29</v>
      </c>
      <c r="K30" s="147">
        <f t="shared" si="6"/>
        <v>5.8205087259759996</v>
      </c>
      <c r="L30" s="149"/>
      <c r="M30" s="148"/>
      <c r="N30" s="14">
        <f>G30*K30-0.09</f>
        <v>268.29365735475335</v>
      </c>
      <c r="O30" s="15" t="s">
        <v>30</v>
      </c>
      <c r="S30" s="18">
        <v>5.18</v>
      </c>
      <c r="U30" s="14">
        <f>N30*R30-0.09</f>
        <v>-0.09</v>
      </c>
    </row>
    <row r="31" spans="1:21" ht="24.75" hidden="1" customHeight="1">
      <c r="A31" s="89">
        <v>224</v>
      </c>
      <c r="B31" s="80" t="s">
        <v>26</v>
      </c>
      <c r="C31" s="150">
        <v>92791</v>
      </c>
      <c r="D31" s="151"/>
      <c r="E31" s="11" t="s">
        <v>47</v>
      </c>
      <c r="F31" s="12" t="s">
        <v>45</v>
      </c>
      <c r="G31" s="147">
        <v>30.05</v>
      </c>
      <c r="H31" s="148"/>
      <c r="I31" s="13">
        <f t="shared" ref="I31:I35" si="7">S31-(S31*$Q$7)</f>
        <v>5.56148373</v>
      </c>
      <c r="J31" s="10" t="s">
        <v>29</v>
      </c>
      <c r="K31" s="147">
        <f t="shared" ref="K31" si="8">I31*$R$7</f>
        <v>7.0452875891639994</v>
      </c>
      <c r="L31" s="149"/>
      <c r="M31" s="148"/>
      <c r="N31" s="14">
        <f>G31*K31-0.08</f>
        <v>211.63089205437817</v>
      </c>
      <c r="O31" s="15" t="s">
        <v>30</v>
      </c>
      <c r="S31" s="18">
        <v>6.27</v>
      </c>
      <c r="U31" s="14">
        <f>N31*R31-0.08</f>
        <v>-0.08</v>
      </c>
    </row>
    <row r="32" spans="1:21" ht="24.95" hidden="1" customHeight="1">
      <c r="A32" s="89">
        <v>225</v>
      </c>
      <c r="B32" s="80" t="s">
        <v>26</v>
      </c>
      <c r="C32" s="150">
        <v>96536</v>
      </c>
      <c r="D32" s="151"/>
      <c r="E32" s="11" t="s">
        <v>54</v>
      </c>
      <c r="F32" s="12" t="s">
        <v>35</v>
      </c>
      <c r="G32" s="170">
        <v>4.67</v>
      </c>
      <c r="H32" s="171"/>
      <c r="I32" s="13">
        <f t="shared" si="7"/>
        <v>42.691261870000005</v>
      </c>
      <c r="J32" s="10" t="s">
        <v>29</v>
      </c>
      <c r="K32" s="147">
        <f t="shared" ref="K32:K33" si="9">I32*$R$7</f>
        <v>54.081290536916001</v>
      </c>
      <c r="L32" s="149"/>
      <c r="M32" s="148"/>
      <c r="N32" s="14">
        <f>G32*K32</f>
        <v>252.55962680739771</v>
      </c>
      <c r="O32" s="15" t="s">
        <v>30</v>
      </c>
      <c r="S32" s="13">
        <v>48.13</v>
      </c>
      <c r="U32" s="14">
        <f>N32*R32</f>
        <v>0</v>
      </c>
    </row>
    <row r="33" spans="1:21" ht="24" hidden="1" customHeight="1">
      <c r="A33" s="89">
        <v>226</v>
      </c>
      <c r="B33" s="80" t="s">
        <v>26</v>
      </c>
      <c r="C33" s="150">
        <v>94965</v>
      </c>
      <c r="D33" s="151"/>
      <c r="E33" s="21" t="s">
        <v>49</v>
      </c>
      <c r="F33" s="12" t="s">
        <v>33</v>
      </c>
      <c r="G33" s="170">
        <v>0.93</v>
      </c>
      <c r="H33" s="171"/>
      <c r="I33" s="13">
        <f t="shared" si="7"/>
        <v>243.56105540999997</v>
      </c>
      <c r="J33" s="10" t="s">
        <v>29</v>
      </c>
      <c r="K33" s="147">
        <f t="shared" si="9"/>
        <v>308.54314499338795</v>
      </c>
      <c r="L33" s="149"/>
      <c r="M33" s="148"/>
      <c r="N33" s="14">
        <f>G33*K33</f>
        <v>286.94512484385081</v>
      </c>
      <c r="O33" s="15" t="s">
        <v>30</v>
      </c>
      <c r="S33" s="13">
        <v>274.58999999999997</v>
      </c>
      <c r="U33" s="14">
        <f>N33*R33</f>
        <v>0</v>
      </c>
    </row>
    <row r="34" spans="1:21" ht="17.25" hidden="1" customHeight="1">
      <c r="A34" s="88">
        <v>23</v>
      </c>
      <c r="B34" s="76"/>
      <c r="C34" s="152"/>
      <c r="D34" s="153"/>
      <c r="E34" s="16" t="s">
        <v>55</v>
      </c>
      <c r="F34" s="6"/>
      <c r="G34" s="152"/>
      <c r="H34" s="153"/>
      <c r="I34" s="6"/>
      <c r="J34" s="6"/>
      <c r="K34" s="173"/>
      <c r="L34" s="174"/>
      <c r="M34" s="175"/>
      <c r="N34" s="17">
        <f>N35</f>
        <v>502.42664495372799</v>
      </c>
      <c r="O34" s="6"/>
      <c r="S34" s="6"/>
      <c r="U34" s="17">
        <v>566.41999999999996</v>
      </c>
    </row>
    <row r="35" spans="1:21" ht="27" hidden="1" customHeight="1">
      <c r="A35" s="89">
        <v>231</v>
      </c>
      <c r="B35" s="80" t="s">
        <v>26</v>
      </c>
      <c r="C35" s="160" t="s">
        <v>56</v>
      </c>
      <c r="D35" s="161"/>
      <c r="E35" s="11" t="s">
        <v>57</v>
      </c>
      <c r="F35" s="12" t="s">
        <v>35</v>
      </c>
      <c r="G35" s="147">
        <v>50.8</v>
      </c>
      <c r="H35" s="148"/>
      <c r="I35" s="13">
        <f t="shared" si="7"/>
        <v>7.8055912000000003</v>
      </c>
      <c r="J35" s="10" t="s">
        <v>29</v>
      </c>
      <c r="K35" s="147">
        <f t="shared" ref="K35" si="10">I35*$R$7</f>
        <v>9.8881229321599999</v>
      </c>
      <c r="L35" s="149"/>
      <c r="M35" s="148"/>
      <c r="N35" s="14">
        <f>G35*K35+0.11</f>
        <v>502.42664495372799</v>
      </c>
      <c r="O35" s="15" t="s">
        <v>30</v>
      </c>
      <c r="S35" s="18">
        <v>8.8000000000000007</v>
      </c>
      <c r="U35" s="14">
        <f>N35*R35+0.11</f>
        <v>0.11</v>
      </c>
    </row>
    <row r="36" spans="1:21" ht="16.5" hidden="1" customHeight="1">
      <c r="A36" s="162">
        <v>3</v>
      </c>
      <c r="B36" s="163"/>
      <c r="C36" s="164" t="s">
        <v>58</v>
      </c>
      <c r="D36" s="165"/>
      <c r="E36" s="165"/>
      <c r="F36" s="166"/>
      <c r="G36" s="179">
        <f>N37+N42+N47</f>
        <v>14459.692905227002</v>
      </c>
      <c r="H36" s="168"/>
      <c r="I36" s="168"/>
      <c r="J36" s="168"/>
      <c r="K36" s="168"/>
      <c r="L36" s="168"/>
      <c r="M36" s="168"/>
      <c r="N36" s="168"/>
      <c r="O36" s="169"/>
    </row>
    <row r="37" spans="1:21" ht="14.25" hidden="1" customHeight="1">
      <c r="A37" s="88">
        <v>31</v>
      </c>
      <c r="B37" s="76"/>
      <c r="C37" s="152"/>
      <c r="D37" s="153"/>
      <c r="E37" s="7" t="s">
        <v>59</v>
      </c>
      <c r="F37" s="6"/>
      <c r="G37" s="152"/>
      <c r="H37" s="153"/>
      <c r="I37" s="8"/>
      <c r="J37" s="8"/>
      <c r="K37" s="154"/>
      <c r="L37" s="155"/>
      <c r="M37" s="156"/>
      <c r="N37" s="17">
        <f>SUM(N38:N41)</f>
        <v>4377.1568630350093</v>
      </c>
      <c r="O37" s="6"/>
      <c r="S37" s="8"/>
      <c r="U37" s="19">
        <v>4934.8599999999997</v>
      </c>
    </row>
    <row r="38" spans="1:21" ht="24.75" hidden="1" customHeight="1">
      <c r="A38" s="89">
        <v>311</v>
      </c>
      <c r="B38" s="80" t="s">
        <v>26</v>
      </c>
      <c r="C38" s="150">
        <v>92794</v>
      </c>
      <c r="D38" s="151"/>
      <c r="E38" s="11" t="s">
        <v>46</v>
      </c>
      <c r="F38" s="12" t="s">
        <v>45</v>
      </c>
      <c r="G38" s="147">
        <v>197.09</v>
      </c>
      <c r="H38" s="148"/>
      <c r="I38" s="13">
        <f t="shared" ref="I38:I48" si="11">S38-(S38*$Q$7)</f>
        <v>4.5946548199999997</v>
      </c>
      <c r="J38" s="10" t="s">
        <v>29</v>
      </c>
      <c r="K38" s="147">
        <f t="shared" ref="K38" si="12">I38*$R$7</f>
        <v>5.8205087259759996</v>
      </c>
      <c r="L38" s="149"/>
      <c r="M38" s="148"/>
      <c r="N38" s="14">
        <f>G38*K38-0.4</f>
        <v>1146.7640648026097</v>
      </c>
      <c r="O38" s="15" t="s">
        <v>30</v>
      </c>
      <c r="S38" s="18">
        <v>5.18</v>
      </c>
      <c r="U38" s="14">
        <f>N38*R38-0.4</f>
        <v>-0.4</v>
      </c>
    </row>
    <row r="39" spans="1:21" ht="21.75" hidden="1" customHeight="1">
      <c r="A39" s="89">
        <v>312</v>
      </c>
      <c r="B39" s="80" t="s">
        <v>26</v>
      </c>
      <c r="C39" s="150">
        <v>92791</v>
      </c>
      <c r="D39" s="151"/>
      <c r="E39" s="11" t="s">
        <v>47</v>
      </c>
      <c r="F39" s="12" t="s">
        <v>45</v>
      </c>
      <c r="G39" s="147">
        <v>55.49</v>
      </c>
      <c r="H39" s="148"/>
      <c r="I39" s="13">
        <f t="shared" si="11"/>
        <v>5.56148373</v>
      </c>
      <c r="J39" s="10" t="s">
        <v>29</v>
      </c>
      <c r="K39" s="147">
        <f t="shared" ref="K39:K41" si="13">I39*$R$7</f>
        <v>7.0452875891639994</v>
      </c>
      <c r="L39" s="149"/>
      <c r="M39" s="148"/>
      <c r="N39" s="14">
        <f>G39*K39-0.16</f>
        <v>390.78300832271032</v>
      </c>
      <c r="O39" s="15" t="s">
        <v>30</v>
      </c>
      <c r="S39" s="18">
        <v>6.27</v>
      </c>
      <c r="U39" s="14">
        <f>N39*R39-0.16</f>
        <v>-0.16</v>
      </c>
    </row>
    <row r="40" spans="1:21" ht="24.75" hidden="1" customHeight="1">
      <c r="A40" s="89">
        <v>313</v>
      </c>
      <c r="B40" s="80" t="s">
        <v>36</v>
      </c>
      <c r="C40" s="160" t="s">
        <v>60</v>
      </c>
      <c r="D40" s="161"/>
      <c r="E40" s="11" t="s">
        <v>61</v>
      </c>
      <c r="F40" s="12" t="s">
        <v>35</v>
      </c>
      <c r="G40" s="147">
        <v>30.62</v>
      </c>
      <c r="H40" s="148"/>
      <c r="I40" s="13">
        <f t="shared" si="11"/>
        <v>61.034401190000004</v>
      </c>
      <c r="J40" s="10" t="s">
        <v>29</v>
      </c>
      <c r="K40" s="147">
        <f t="shared" si="13"/>
        <v>77.318379427492005</v>
      </c>
      <c r="L40" s="149"/>
      <c r="M40" s="148"/>
      <c r="N40" s="14">
        <f>G40*K40+0.05</f>
        <v>2367.5387780698056</v>
      </c>
      <c r="O40" s="15" t="s">
        <v>30</v>
      </c>
      <c r="S40" s="13">
        <v>68.81</v>
      </c>
      <c r="U40" s="14">
        <f>N40*R40+0.05</f>
        <v>0.05</v>
      </c>
    </row>
    <row r="41" spans="1:21" ht="21.75" hidden="1" customHeight="1">
      <c r="A41" s="89">
        <v>314</v>
      </c>
      <c r="B41" s="80" t="s">
        <v>26</v>
      </c>
      <c r="C41" s="150">
        <v>94965</v>
      </c>
      <c r="D41" s="151"/>
      <c r="E41" s="21" t="s">
        <v>49</v>
      </c>
      <c r="F41" s="12" t="s">
        <v>33</v>
      </c>
      <c r="G41" s="170">
        <v>1.53</v>
      </c>
      <c r="H41" s="171"/>
      <c r="I41" s="13">
        <f t="shared" si="11"/>
        <v>243.56105540999997</v>
      </c>
      <c r="J41" s="10" t="s">
        <v>29</v>
      </c>
      <c r="K41" s="147">
        <f t="shared" si="13"/>
        <v>308.54314499338795</v>
      </c>
      <c r="L41" s="149"/>
      <c r="M41" s="148"/>
      <c r="N41" s="14">
        <f>G41*K41</f>
        <v>472.07101183988357</v>
      </c>
      <c r="O41" s="15" t="s">
        <v>30</v>
      </c>
      <c r="S41" s="13">
        <v>274.58999999999997</v>
      </c>
      <c r="U41" s="14">
        <f>N41*R41</f>
        <v>0</v>
      </c>
    </row>
    <row r="42" spans="1:21" ht="20.25" hidden="1" customHeight="1">
      <c r="A42" s="88">
        <v>32</v>
      </c>
      <c r="B42" s="76"/>
      <c r="C42" s="152"/>
      <c r="D42" s="153"/>
      <c r="E42" s="16" t="s">
        <v>62</v>
      </c>
      <c r="F42" s="6"/>
      <c r="G42" s="152"/>
      <c r="H42" s="153"/>
      <c r="I42" s="6"/>
      <c r="J42" s="6"/>
      <c r="K42" s="173"/>
      <c r="L42" s="174"/>
      <c r="M42" s="175"/>
      <c r="N42" s="17">
        <f>SUM(N43:N46)</f>
        <v>3792.5140696295739</v>
      </c>
      <c r="O42" s="6"/>
      <c r="S42" s="6"/>
      <c r="U42" s="22">
        <v>4275.74</v>
      </c>
    </row>
    <row r="43" spans="1:21" ht="21" hidden="1" customHeight="1">
      <c r="A43" s="89">
        <v>321</v>
      </c>
      <c r="B43" s="80" t="s">
        <v>26</v>
      </c>
      <c r="C43" s="150">
        <v>92794</v>
      </c>
      <c r="D43" s="151"/>
      <c r="E43" s="11" t="s">
        <v>46</v>
      </c>
      <c r="F43" s="12" t="s">
        <v>45</v>
      </c>
      <c r="G43" s="147">
        <v>181.57</v>
      </c>
      <c r="H43" s="148"/>
      <c r="I43" s="13">
        <f t="shared" si="11"/>
        <v>4.5946548199999997</v>
      </c>
      <c r="J43" s="10" t="s">
        <v>29</v>
      </c>
      <c r="K43" s="147">
        <f t="shared" ref="K43" si="14">I43*$R$7</f>
        <v>5.8205087259759996</v>
      </c>
      <c r="L43" s="149"/>
      <c r="M43" s="148"/>
      <c r="N43" s="14">
        <f>G43*K43-0.37</f>
        <v>1056.4597693754622</v>
      </c>
      <c r="O43" s="15" t="s">
        <v>30</v>
      </c>
      <c r="S43" s="18">
        <v>5.18</v>
      </c>
      <c r="U43" s="14">
        <f>N43*R43-0.37</f>
        <v>-0.37</v>
      </c>
    </row>
    <row r="44" spans="1:21" ht="25.5" hidden="1" customHeight="1">
      <c r="A44" s="89">
        <v>322</v>
      </c>
      <c r="B44" s="80" t="s">
        <v>26</v>
      </c>
      <c r="C44" s="150">
        <v>92791</v>
      </c>
      <c r="D44" s="151"/>
      <c r="E44" s="11" t="s">
        <v>47</v>
      </c>
      <c r="F44" s="12" t="s">
        <v>45</v>
      </c>
      <c r="G44" s="147">
        <v>58.91</v>
      </c>
      <c r="H44" s="148"/>
      <c r="I44" s="13">
        <f t="shared" si="11"/>
        <v>5.56148373</v>
      </c>
      <c r="J44" s="10" t="s">
        <v>29</v>
      </c>
      <c r="K44" s="147">
        <f t="shared" ref="K44:K46" si="15">I44*$R$7</f>
        <v>7.0452875891639994</v>
      </c>
      <c r="L44" s="149"/>
      <c r="M44" s="148"/>
      <c r="N44" s="14">
        <f>G44*K44-0.16</f>
        <v>414.87789187765117</v>
      </c>
      <c r="O44" s="15" t="s">
        <v>30</v>
      </c>
      <c r="S44" s="18">
        <v>6.27</v>
      </c>
      <c r="U44" s="14">
        <f>N44*R44-0.16</f>
        <v>-0.16</v>
      </c>
    </row>
    <row r="45" spans="1:21" ht="23.25" hidden="1" customHeight="1">
      <c r="A45" s="89">
        <v>323</v>
      </c>
      <c r="B45" s="80" t="s">
        <v>36</v>
      </c>
      <c r="C45" s="160" t="s">
        <v>63</v>
      </c>
      <c r="D45" s="161"/>
      <c r="E45" s="11" t="s">
        <v>64</v>
      </c>
      <c r="F45" s="12" t="s">
        <v>35</v>
      </c>
      <c r="G45" s="147">
        <v>36.78</v>
      </c>
      <c r="H45" s="148"/>
      <c r="I45" s="13">
        <f t="shared" si="11"/>
        <v>36.508878839999994</v>
      </c>
      <c r="J45" s="10" t="s">
        <v>29</v>
      </c>
      <c r="K45" s="147">
        <f t="shared" si="15"/>
        <v>46.249447714511987</v>
      </c>
      <c r="L45" s="149"/>
      <c r="M45" s="148"/>
      <c r="N45" s="14">
        <f>G45*K45-0.05</f>
        <v>1701.0046869397511</v>
      </c>
      <c r="O45" s="15" t="s">
        <v>30</v>
      </c>
      <c r="S45" s="13">
        <v>41.16</v>
      </c>
      <c r="U45" s="14">
        <f>N45*R45-0.05</f>
        <v>-0.05</v>
      </c>
    </row>
    <row r="46" spans="1:21" ht="24" hidden="1" customHeight="1">
      <c r="A46" s="89">
        <v>324</v>
      </c>
      <c r="B46" s="80" t="s">
        <v>26</v>
      </c>
      <c r="C46" s="150">
        <v>94965</v>
      </c>
      <c r="D46" s="151"/>
      <c r="E46" s="21" t="s">
        <v>49</v>
      </c>
      <c r="F46" s="12" t="s">
        <v>33</v>
      </c>
      <c r="G46" s="170">
        <v>2.0099999999999998</v>
      </c>
      <c r="H46" s="171"/>
      <c r="I46" s="13">
        <f t="shared" si="11"/>
        <v>243.56105540999997</v>
      </c>
      <c r="J46" s="10" t="s">
        <v>29</v>
      </c>
      <c r="K46" s="147">
        <f t="shared" si="15"/>
        <v>308.54314499338795</v>
      </c>
      <c r="L46" s="149"/>
      <c r="M46" s="148"/>
      <c r="N46" s="14">
        <f>G46*K46</f>
        <v>620.17172143670973</v>
      </c>
      <c r="O46" s="15" t="s">
        <v>30</v>
      </c>
      <c r="S46" s="13">
        <v>274.58999999999997</v>
      </c>
      <c r="U46" s="14">
        <f>N46*R46</f>
        <v>0</v>
      </c>
    </row>
    <row r="47" spans="1:21" ht="10.5" hidden="1" customHeight="1">
      <c r="A47" s="88">
        <v>33</v>
      </c>
      <c r="B47" s="76"/>
      <c r="C47" s="152"/>
      <c r="D47" s="153"/>
      <c r="E47" s="16" t="s">
        <v>65</v>
      </c>
      <c r="F47" s="6"/>
      <c r="G47" s="152"/>
      <c r="H47" s="153"/>
      <c r="I47" s="6"/>
      <c r="J47" s="6"/>
      <c r="K47" s="173"/>
      <c r="L47" s="174"/>
      <c r="M47" s="175"/>
      <c r="N47" s="22">
        <f>N48</f>
        <v>6290.0219725624202</v>
      </c>
      <c r="O47" s="6"/>
      <c r="S47" s="6"/>
      <c r="U47" s="22">
        <v>7091.35</v>
      </c>
    </row>
    <row r="48" spans="1:21" ht="23.25" hidden="1" customHeight="1">
      <c r="A48" s="89">
        <v>331</v>
      </c>
      <c r="B48" s="80" t="s">
        <v>36</v>
      </c>
      <c r="C48" s="160" t="s">
        <v>66</v>
      </c>
      <c r="D48" s="161"/>
      <c r="E48" s="11" t="s">
        <v>67</v>
      </c>
      <c r="F48" s="12" t="s">
        <v>35</v>
      </c>
      <c r="G48" s="147">
        <v>43.14</v>
      </c>
      <c r="H48" s="148"/>
      <c r="I48" s="13">
        <f t="shared" si="11"/>
        <v>115.09699024</v>
      </c>
      <c r="J48" s="10" t="s">
        <v>29</v>
      </c>
      <c r="K48" s="147">
        <f t="shared" ref="K48" si="16">I48*$R$7</f>
        <v>145.80486723603198</v>
      </c>
      <c r="L48" s="149"/>
      <c r="M48" s="148"/>
      <c r="N48" s="14">
        <f>G48*K48</f>
        <v>6290.0219725624202</v>
      </c>
      <c r="O48" s="15" t="s">
        <v>30</v>
      </c>
      <c r="S48" s="13">
        <v>129.76</v>
      </c>
      <c r="U48" s="14">
        <f>N48*R48</f>
        <v>0</v>
      </c>
    </row>
    <row r="49" spans="1:21" ht="15.75" hidden="1" customHeight="1">
      <c r="A49" s="162">
        <v>4</v>
      </c>
      <c r="B49" s="163"/>
      <c r="C49" s="164" t="s">
        <v>68</v>
      </c>
      <c r="D49" s="165"/>
      <c r="E49" s="165"/>
      <c r="F49" s="166"/>
      <c r="G49" s="172">
        <f>N50</f>
        <v>3998.0458605151716</v>
      </c>
      <c r="H49" s="168"/>
      <c r="I49" s="168"/>
      <c r="J49" s="168"/>
      <c r="K49" s="168"/>
      <c r="L49" s="168"/>
      <c r="M49" s="168"/>
      <c r="N49" s="168"/>
      <c r="O49" s="169"/>
    </row>
    <row r="50" spans="1:21" ht="15.75" hidden="1" customHeight="1">
      <c r="A50" s="88">
        <v>41</v>
      </c>
      <c r="B50" s="76"/>
      <c r="C50" s="152"/>
      <c r="D50" s="153"/>
      <c r="E50" s="7" t="s">
        <v>69</v>
      </c>
      <c r="F50" s="6"/>
      <c r="G50" s="152"/>
      <c r="H50" s="153"/>
      <c r="I50" s="8"/>
      <c r="J50" s="8"/>
      <c r="K50" s="154"/>
      <c r="L50" s="155"/>
      <c r="M50" s="156"/>
      <c r="N50" s="17">
        <f>SUM(N51:N55)</f>
        <v>3998.0458605151716</v>
      </c>
      <c r="O50" s="6"/>
      <c r="S50" s="8"/>
      <c r="U50" s="19">
        <v>4507.37</v>
      </c>
    </row>
    <row r="51" spans="1:21" ht="24.95" hidden="1" customHeight="1">
      <c r="A51" s="89">
        <v>411</v>
      </c>
      <c r="B51" s="80" t="s">
        <v>36</v>
      </c>
      <c r="C51" s="160" t="s">
        <v>70</v>
      </c>
      <c r="D51" s="161"/>
      <c r="E51" s="11" t="s">
        <v>71</v>
      </c>
      <c r="F51" s="12" t="s">
        <v>35</v>
      </c>
      <c r="G51" s="147">
        <v>80.19</v>
      </c>
      <c r="H51" s="148"/>
      <c r="I51" s="13">
        <f t="shared" ref="I51" si="17">S51-(S51*$Q$7)</f>
        <v>26.627709979999999</v>
      </c>
      <c r="J51" s="10" t="s">
        <v>29</v>
      </c>
      <c r="K51" s="147">
        <f t="shared" ref="K51" si="18">I51*$R$7</f>
        <v>33.731983002663995</v>
      </c>
      <c r="L51" s="149"/>
      <c r="M51" s="148"/>
      <c r="N51" s="14">
        <f>G51*K51+0.06</f>
        <v>2705.0277169836254</v>
      </c>
      <c r="O51" s="15" t="s">
        <v>30</v>
      </c>
      <c r="S51" s="13">
        <v>30.02</v>
      </c>
      <c r="U51" s="14">
        <f>N51*R51+0.06</f>
        <v>0.06</v>
      </c>
    </row>
    <row r="52" spans="1:21" ht="24.95" hidden="1" customHeight="1">
      <c r="A52" s="89">
        <v>412</v>
      </c>
      <c r="B52" s="80" t="s">
        <v>36</v>
      </c>
      <c r="C52" s="160" t="s">
        <v>72</v>
      </c>
      <c r="D52" s="161"/>
      <c r="E52" s="11" t="s">
        <v>73</v>
      </c>
      <c r="F52" s="12" t="s">
        <v>35</v>
      </c>
      <c r="G52" s="170">
        <v>8.9700000000000006</v>
      </c>
      <c r="H52" s="171"/>
      <c r="I52" s="13">
        <f t="shared" ref="I52:I55" si="19">S52-(S52*$Q$7)</f>
        <v>40.544724289999998</v>
      </c>
      <c r="J52" s="10" t="s">
        <v>29</v>
      </c>
      <c r="K52" s="147">
        <f t="shared" ref="K52" si="20">I52*$R$7</f>
        <v>51.362056730571993</v>
      </c>
      <c r="L52" s="149"/>
      <c r="M52" s="148"/>
      <c r="N52" s="14">
        <f>G52*K52+0.04</f>
        <v>460.75764887323083</v>
      </c>
      <c r="O52" s="15" t="s">
        <v>30</v>
      </c>
      <c r="S52" s="13">
        <v>45.71</v>
      </c>
      <c r="U52" s="14">
        <f>N52*R52+0.04</f>
        <v>0.04</v>
      </c>
    </row>
    <row r="53" spans="1:21" ht="21.75" hidden="1" customHeight="1">
      <c r="A53" s="89">
        <v>413</v>
      </c>
      <c r="B53" s="80" t="s">
        <v>26</v>
      </c>
      <c r="C53" s="150">
        <v>93182</v>
      </c>
      <c r="D53" s="151"/>
      <c r="E53" s="11" t="s">
        <v>74</v>
      </c>
      <c r="F53" s="12" t="s">
        <v>75</v>
      </c>
      <c r="G53" s="147">
        <v>12.6</v>
      </c>
      <c r="H53" s="148"/>
      <c r="I53" s="13">
        <f t="shared" si="19"/>
        <v>21.802435419999998</v>
      </c>
      <c r="J53" s="10" t="s">
        <v>29</v>
      </c>
      <c r="K53" s="147">
        <f t="shared" ref="K53:K55" si="21">I53*$R$7</f>
        <v>27.619325190055996</v>
      </c>
      <c r="L53" s="149"/>
      <c r="M53" s="148"/>
      <c r="N53" s="14">
        <f>G53*K53+0.02</f>
        <v>348.02349739470554</v>
      </c>
      <c r="O53" s="15" t="s">
        <v>30</v>
      </c>
      <c r="S53" s="13">
        <v>24.58</v>
      </c>
      <c r="U53" s="14">
        <f>N53*R53+0.02</f>
        <v>0.02</v>
      </c>
    </row>
    <row r="54" spans="1:21" ht="22.5" hidden="1" customHeight="1">
      <c r="A54" s="89">
        <v>414</v>
      </c>
      <c r="B54" s="80" t="s">
        <v>26</v>
      </c>
      <c r="C54" s="150">
        <v>93184</v>
      </c>
      <c r="D54" s="151"/>
      <c r="E54" s="11" t="s">
        <v>76</v>
      </c>
      <c r="F54" s="12" t="s">
        <v>75</v>
      </c>
      <c r="G54" s="170">
        <v>6.76</v>
      </c>
      <c r="H54" s="171"/>
      <c r="I54" s="13">
        <f t="shared" si="19"/>
        <v>16.648971230000001</v>
      </c>
      <c r="J54" s="10" t="s">
        <v>29</v>
      </c>
      <c r="K54" s="147">
        <f t="shared" si="21"/>
        <v>21.090916754163999</v>
      </c>
      <c r="L54" s="149"/>
      <c r="M54" s="148"/>
      <c r="N54" s="14">
        <f>G54*K54+0.01</f>
        <v>142.58459725814862</v>
      </c>
      <c r="O54" s="15" t="s">
        <v>30</v>
      </c>
      <c r="S54" s="13">
        <v>18.77</v>
      </c>
      <c r="U54" s="14">
        <f>N54*R54+0.01</f>
        <v>0.01</v>
      </c>
    </row>
    <row r="55" spans="1:21" ht="23.25" hidden="1" customHeight="1">
      <c r="A55" s="89">
        <v>415</v>
      </c>
      <c r="B55" s="80" t="s">
        <v>26</v>
      </c>
      <c r="C55" s="150">
        <v>93194</v>
      </c>
      <c r="D55" s="151"/>
      <c r="E55" s="11" t="s">
        <v>77</v>
      </c>
      <c r="F55" s="12" t="s">
        <v>75</v>
      </c>
      <c r="G55" s="147">
        <v>12.6</v>
      </c>
      <c r="H55" s="148"/>
      <c r="I55" s="13">
        <f t="shared" si="19"/>
        <v>21.403285869999998</v>
      </c>
      <c r="J55" s="10" t="s">
        <v>29</v>
      </c>
      <c r="K55" s="147">
        <f t="shared" si="21"/>
        <v>27.113682540115995</v>
      </c>
      <c r="L55" s="149"/>
      <c r="M55" s="148"/>
      <c r="N55" s="14">
        <f>G55*K55+0.02</f>
        <v>341.65240000546152</v>
      </c>
      <c r="O55" s="15" t="s">
        <v>30</v>
      </c>
      <c r="S55" s="13">
        <v>24.13</v>
      </c>
      <c r="U55" s="14">
        <f>N55*R55+0.02</f>
        <v>0.02</v>
      </c>
    </row>
    <row r="56" spans="1:21" ht="21" hidden="1" customHeight="1">
      <c r="A56" s="162">
        <v>5</v>
      </c>
      <c r="B56" s="163"/>
      <c r="C56" s="164" t="s">
        <v>78</v>
      </c>
      <c r="D56" s="165"/>
      <c r="E56" s="165"/>
      <c r="F56" s="166"/>
      <c r="G56" s="172">
        <f>N57</f>
        <v>3379.6340070618367</v>
      </c>
      <c r="H56" s="168"/>
      <c r="I56" s="168"/>
      <c r="J56" s="168"/>
      <c r="K56" s="168"/>
      <c r="L56" s="168"/>
      <c r="M56" s="168"/>
      <c r="N56" s="168"/>
      <c r="O56" s="169"/>
    </row>
    <row r="57" spans="1:21" ht="15.75" hidden="1" customHeight="1">
      <c r="A57" s="88">
        <v>51</v>
      </c>
      <c r="B57" s="76"/>
      <c r="C57" s="152"/>
      <c r="D57" s="153"/>
      <c r="E57" s="7" t="s">
        <v>78</v>
      </c>
      <c r="F57" s="6"/>
      <c r="G57" s="152"/>
      <c r="H57" s="153"/>
      <c r="I57" s="8"/>
      <c r="J57" s="8"/>
      <c r="K57" s="154"/>
      <c r="L57" s="155"/>
      <c r="M57" s="156"/>
      <c r="N57" s="17">
        <f>SUM(N58:N63)+0.01</f>
        <v>3379.6340070618367</v>
      </c>
      <c r="O57" s="6"/>
      <c r="S57" s="8"/>
      <c r="U57" s="19">
        <v>3810.19</v>
      </c>
    </row>
    <row r="58" spans="1:21" ht="33.75" hidden="1" customHeight="1">
      <c r="A58" s="89">
        <v>511</v>
      </c>
      <c r="B58" s="80" t="s">
        <v>36</v>
      </c>
      <c r="C58" s="160" t="s">
        <v>79</v>
      </c>
      <c r="D58" s="161"/>
      <c r="E58" s="11" t="s">
        <v>80</v>
      </c>
      <c r="F58" s="12" t="s">
        <v>75</v>
      </c>
      <c r="G58" s="147">
        <v>22.75</v>
      </c>
      <c r="H58" s="148"/>
      <c r="I58" s="13">
        <f t="shared" ref="I58:I63" si="22">S58-(S58*$Q$7)</f>
        <v>30.56598554</v>
      </c>
      <c r="J58" s="10" t="s">
        <v>29</v>
      </c>
      <c r="K58" s="147">
        <f t="shared" ref="K58" si="23">I58*$R$7</f>
        <v>38.720990482071997</v>
      </c>
      <c r="L58" s="149"/>
      <c r="M58" s="148"/>
      <c r="N58" s="14">
        <f>G58*K58-0.09</f>
        <v>880.81253346713788</v>
      </c>
      <c r="O58" s="15" t="s">
        <v>30</v>
      </c>
      <c r="S58" s="13">
        <v>34.46</v>
      </c>
      <c r="U58" s="14">
        <f>N58*R58-0.09</f>
        <v>-0.09</v>
      </c>
    </row>
    <row r="59" spans="1:21" ht="24.95" hidden="1" customHeight="1">
      <c r="A59" s="89">
        <v>512</v>
      </c>
      <c r="B59" s="80" t="s">
        <v>26</v>
      </c>
      <c r="C59" s="150">
        <v>89576</v>
      </c>
      <c r="D59" s="151"/>
      <c r="E59" s="11" t="s">
        <v>81</v>
      </c>
      <c r="F59" s="12" t="s">
        <v>75</v>
      </c>
      <c r="G59" s="147">
        <v>34.049999999999997</v>
      </c>
      <c r="H59" s="148"/>
      <c r="I59" s="13">
        <f t="shared" si="22"/>
        <v>13.05662528</v>
      </c>
      <c r="J59" s="10" t="s">
        <v>29</v>
      </c>
      <c r="K59" s="147">
        <f t="shared" ref="K59:K63" si="24">I59*$R$7</f>
        <v>16.540132904703999</v>
      </c>
      <c r="L59" s="149"/>
      <c r="M59" s="148"/>
      <c r="N59" s="14">
        <f>G59*K59+0.09</f>
        <v>563.28152540517112</v>
      </c>
      <c r="O59" s="15" t="s">
        <v>30</v>
      </c>
      <c r="S59" s="13">
        <v>14.72</v>
      </c>
      <c r="U59" s="14">
        <f>N59*R59+0.09</f>
        <v>0.09</v>
      </c>
    </row>
    <row r="60" spans="1:21" ht="21.75" hidden="1" customHeight="1">
      <c r="A60" s="89">
        <v>513</v>
      </c>
      <c r="B60" s="80" t="s">
        <v>36</v>
      </c>
      <c r="C60" s="160" t="s">
        <v>82</v>
      </c>
      <c r="D60" s="161"/>
      <c r="E60" s="11" t="s">
        <v>83</v>
      </c>
      <c r="F60" s="12" t="s">
        <v>84</v>
      </c>
      <c r="G60" s="170">
        <v>2</v>
      </c>
      <c r="H60" s="171"/>
      <c r="I60" s="13">
        <f t="shared" si="22"/>
        <v>433.65381109999998</v>
      </c>
      <c r="J60" s="10" t="s">
        <v>29</v>
      </c>
      <c r="K60" s="147">
        <f t="shared" si="24"/>
        <v>549.35264790147994</v>
      </c>
      <c r="L60" s="149"/>
      <c r="M60" s="148"/>
      <c r="N60" s="14">
        <f>G60*K60</f>
        <v>1098.7052958029599</v>
      </c>
      <c r="O60" s="15" t="s">
        <v>30</v>
      </c>
      <c r="S60" s="13">
        <v>488.9</v>
      </c>
      <c r="U60" s="14">
        <f>N60*R60</f>
        <v>0</v>
      </c>
    </row>
    <row r="61" spans="1:21" ht="24" hidden="1" customHeight="1">
      <c r="A61" s="89">
        <v>514</v>
      </c>
      <c r="B61" s="80" t="s">
        <v>36</v>
      </c>
      <c r="C61" s="160" t="s">
        <v>85</v>
      </c>
      <c r="D61" s="161"/>
      <c r="E61" s="11" t="s">
        <v>86</v>
      </c>
      <c r="F61" s="12" t="s">
        <v>84</v>
      </c>
      <c r="G61" s="170">
        <v>1</v>
      </c>
      <c r="H61" s="171"/>
      <c r="I61" s="13">
        <f t="shared" si="22"/>
        <v>387.46777316999999</v>
      </c>
      <c r="J61" s="10" t="s">
        <v>29</v>
      </c>
      <c r="K61" s="147">
        <f t="shared" si="24"/>
        <v>490.84417505175594</v>
      </c>
      <c r="L61" s="149"/>
      <c r="M61" s="148"/>
      <c r="N61" s="14">
        <f>G61*K61</f>
        <v>490.84417505175594</v>
      </c>
      <c r="O61" s="15" t="s">
        <v>30</v>
      </c>
      <c r="S61" s="13">
        <v>436.83</v>
      </c>
      <c r="U61" s="14">
        <f>N61*R61</f>
        <v>0</v>
      </c>
    </row>
    <row r="62" spans="1:21" ht="15.95" hidden="1" customHeight="1">
      <c r="A62" s="89">
        <v>515</v>
      </c>
      <c r="B62" s="80" t="s">
        <v>36</v>
      </c>
      <c r="C62" s="160" t="s">
        <v>87</v>
      </c>
      <c r="D62" s="161"/>
      <c r="E62" s="11" t="s">
        <v>88</v>
      </c>
      <c r="F62" s="12" t="s">
        <v>33</v>
      </c>
      <c r="G62" s="170">
        <v>4.79</v>
      </c>
      <c r="H62" s="171"/>
      <c r="I62" s="13">
        <f t="shared" si="22"/>
        <v>39.897215019999997</v>
      </c>
      <c r="J62" s="10" t="s">
        <v>29</v>
      </c>
      <c r="K62" s="147">
        <f t="shared" si="24"/>
        <v>50.541791987335991</v>
      </c>
      <c r="L62" s="149"/>
      <c r="M62" s="148"/>
      <c r="N62" s="14">
        <f>G62*K62-0.01</f>
        <v>242.0851836193394</v>
      </c>
      <c r="O62" s="15" t="s">
        <v>30</v>
      </c>
      <c r="S62" s="13">
        <v>44.98</v>
      </c>
      <c r="U62" s="14">
        <f>N62*R62-0.01</f>
        <v>-0.01</v>
      </c>
    </row>
    <row r="63" spans="1:21" ht="24" hidden="1" customHeight="1">
      <c r="A63" s="89">
        <v>516</v>
      </c>
      <c r="B63" s="80" t="s">
        <v>26</v>
      </c>
      <c r="C63" s="150">
        <v>93382</v>
      </c>
      <c r="D63" s="151"/>
      <c r="E63" s="11" t="s">
        <v>89</v>
      </c>
      <c r="F63" s="12" t="s">
        <v>33</v>
      </c>
      <c r="G63" s="170">
        <v>4.3899999999999997</v>
      </c>
      <c r="H63" s="171"/>
      <c r="I63" s="13">
        <f t="shared" si="22"/>
        <v>18.680198939999997</v>
      </c>
      <c r="J63" s="10" t="s">
        <v>29</v>
      </c>
      <c r="K63" s="147">
        <f t="shared" si="24"/>
        <v>23.664076017191995</v>
      </c>
      <c r="L63" s="149"/>
      <c r="M63" s="148"/>
      <c r="N63" s="14">
        <f>G63*K63+0.01</f>
        <v>103.89529371547286</v>
      </c>
      <c r="O63" s="15" t="s">
        <v>30</v>
      </c>
      <c r="S63" s="13">
        <v>21.06</v>
      </c>
      <c r="U63" s="14">
        <f>N63*R63+0.01</f>
        <v>0.01</v>
      </c>
    </row>
    <row r="64" spans="1:21" ht="19.5" hidden="1" customHeight="1">
      <c r="A64" s="162">
        <v>6</v>
      </c>
      <c r="B64" s="163"/>
      <c r="C64" s="164" t="s">
        <v>90</v>
      </c>
      <c r="D64" s="165"/>
      <c r="E64" s="165"/>
      <c r="F64" s="166"/>
      <c r="G64" s="172">
        <f>N65</f>
        <v>13105.424787377146</v>
      </c>
      <c r="H64" s="168"/>
      <c r="I64" s="168"/>
      <c r="J64" s="168"/>
      <c r="K64" s="168"/>
      <c r="L64" s="168"/>
      <c r="M64" s="168"/>
      <c r="N64" s="168"/>
      <c r="O64" s="169"/>
    </row>
    <row r="65" spans="1:21" ht="16.5" hidden="1" customHeight="1">
      <c r="A65" s="88">
        <v>61</v>
      </c>
      <c r="B65" s="76"/>
      <c r="C65" s="152"/>
      <c r="D65" s="153"/>
      <c r="E65" s="7" t="s">
        <v>90</v>
      </c>
      <c r="F65" s="6"/>
      <c r="G65" s="152"/>
      <c r="H65" s="153"/>
      <c r="I65" s="8"/>
      <c r="J65" s="8"/>
      <c r="K65" s="154"/>
      <c r="L65" s="155"/>
      <c r="M65" s="156"/>
      <c r="N65" s="17">
        <f>SUM(N66:N69)+0.01</f>
        <v>13105.424787377146</v>
      </c>
      <c r="O65" s="6"/>
      <c r="S65" s="8"/>
      <c r="U65" s="19">
        <v>14774.82</v>
      </c>
    </row>
    <row r="66" spans="1:21" ht="34.5" hidden="1" customHeight="1">
      <c r="A66" s="89">
        <v>611</v>
      </c>
      <c r="B66" s="80" t="s">
        <v>26</v>
      </c>
      <c r="C66" s="150">
        <v>87878</v>
      </c>
      <c r="D66" s="151"/>
      <c r="E66" s="11" t="s">
        <v>91</v>
      </c>
      <c r="F66" s="12" t="s">
        <v>35</v>
      </c>
      <c r="G66" s="147">
        <v>245.5</v>
      </c>
      <c r="H66" s="148"/>
      <c r="I66" s="13">
        <f t="shared" ref="I66:I68" si="25">S66-(S66*$Q$7)</f>
        <v>2.5811670900000001</v>
      </c>
      <c r="J66" s="10" t="s">
        <v>29</v>
      </c>
      <c r="K66" s="147">
        <f t="shared" ref="K66" si="26">I66*$R$7</f>
        <v>3.269822469612</v>
      </c>
      <c r="L66" s="149"/>
      <c r="M66" s="148"/>
      <c r="N66" s="14">
        <f>G66*K66+0.89</f>
        <v>803.63141628974597</v>
      </c>
      <c r="O66" s="15" t="s">
        <v>30</v>
      </c>
      <c r="S66" s="18">
        <v>2.91</v>
      </c>
      <c r="U66" s="14">
        <f>N66*R66+0.89</f>
        <v>0.89</v>
      </c>
    </row>
    <row r="67" spans="1:21" ht="31.5" hidden="1" customHeight="1">
      <c r="A67" s="89">
        <v>612</v>
      </c>
      <c r="B67" s="80" t="s">
        <v>26</v>
      </c>
      <c r="C67" s="150">
        <v>87777</v>
      </c>
      <c r="D67" s="151"/>
      <c r="E67" s="11" t="s">
        <v>92</v>
      </c>
      <c r="F67" s="12" t="s">
        <v>35</v>
      </c>
      <c r="G67" s="147">
        <v>160.69999999999999</v>
      </c>
      <c r="H67" s="148"/>
      <c r="I67" s="13">
        <f t="shared" si="25"/>
        <v>34.965500580000004</v>
      </c>
      <c r="J67" s="10" t="s">
        <v>29</v>
      </c>
      <c r="K67" s="147">
        <f t="shared" ref="K67:K68" si="27">I67*$R$7</f>
        <v>44.294296134744002</v>
      </c>
      <c r="L67" s="149"/>
      <c r="M67" s="148"/>
      <c r="N67" s="14">
        <f>G67*K67+0.44</f>
        <v>7118.5333888533605</v>
      </c>
      <c r="O67" s="15" t="s">
        <v>30</v>
      </c>
      <c r="S67" s="13">
        <v>39.42</v>
      </c>
      <c r="U67" s="14">
        <f>N67*R67+0.44</f>
        <v>0.44</v>
      </c>
    </row>
    <row r="68" spans="1:21" ht="41.1" hidden="1" customHeight="1">
      <c r="A68" s="89">
        <v>613</v>
      </c>
      <c r="B68" s="80" t="s">
        <v>26</v>
      </c>
      <c r="C68" s="150">
        <v>87536</v>
      </c>
      <c r="D68" s="151"/>
      <c r="E68" s="11" t="s">
        <v>93</v>
      </c>
      <c r="F68" s="12" t="s">
        <v>35</v>
      </c>
      <c r="G68" s="147">
        <v>84.8</v>
      </c>
      <c r="H68" s="148"/>
      <c r="I68" s="13">
        <f t="shared" si="25"/>
        <v>20.10826733</v>
      </c>
      <c r="J68" s="10" t="s">
        <v>29</v>
      </c>
      <c r="K68" s="147">
        <f t="shared" si="27"/>
        <v>25.473153053643998</v>
      </c>
      <c r="L68" s="149"/>
      <c r="M68" s="148"/>
      <c r="N68" s="14">
        <f>G68*K68+0.14</f>
        <v>2160.263378949011</v>
      </c>
      <c r="O68" s="23" t="s">
        <v>30</v>
      </c>
      <c r="S68" s="13">
        <v>22.67</v>
      </c>
      <c r="U68" s="14">
        <f>N68*R68+0.14</f>
        <v>0.14000000000000001</v>
      </c>
    </row>
    <row r="69" spans="1:21" ht="43.5" hidden="1" customHeight="1">
      <c r="A69" s="89">
        <v>614</v>
      </c>
      <c r="B69" s="80" t="s">
        <v>26</v>
      </c>
      <c r="C69" s="150">
        <v>93393</v>
      </c>
      <c r="D69" s="151"/>
      <c r="E69" s="11" t="s">
        <v>94</v>
      </c>
      <c r="F69" s="12" t="s">
        <v>35</v>
      </c>
      <c r="G69" s="147">
        <v>85.76</v>
      </c>
      <c r="H69" s="148"/>
      <c r="I69" s="13">
        <f t="shared" ref="I69" si="28">S69-(S69*$Q$7)</f>
        <v>27.825158630000001</v>
      </c>
      <c r="J69" s="10" t="s">
        <v>29</v>
      </c>
      <c r="K69" s="147">
        <f t="shared" ref="K69" si="29">I69*$R$7</f>
        <v>35.248910952483996</v>
      </c>
      <c r="L69" s="149"/>
      <c r="M69" s="148"/>
      <c r="N69" s="14">
        <f>G69*K69+0.04</f>
        <v>3022.9866032850277</v>
      </c>
      <c r="O69" s="15" t="s">
        <v>30</v>
      </c>
      <c r="S69" s="13">
        <v>31.37</v>
      </c>
      <c r="U69" s="14">
        <f>N69*R69+0.04</f>
        <v>0.04</v>
      </c>
    </row>
    <row r="70" spans="1:21" ht="24" hidden="1" customHeight="1">
      <c r="A70" s="162">
        <v>7</v>
      </c>
      <c r="B70" s="163"/>
      <c r="C70" s="164" t="s">
        <v>95</v>
      </c>
      <c r="D70" s="165"/>
      <c r="E70" s="165"/>
      <c r="F70" s="166"/>
      <c r="G70" s="176">
        <f>N71+N75</f>
        <v>3922.3674575323653</v>
      </c>
      <c r="H70" s="168"/>
      <c r="I70" s="168"/>
      <c r="J70" s="168"/>
      <c r="K70" s="168"/>
      <c r="L70" s="168"/>
      <c r="M70" s="168"/>
      <c r="N70" s="168"/>
      <c r="O70" s="169"/>
    </row>
    <row r="71" spans="1:21" ht="14.25" hidden="1" customHeight="1">
      <c r="A71" s="88">
        <v>71</v>
      </c>
      <c r="B71" s="76"/>
      <c r="C71" s="152"/>
      <c r="D71" s="153"/>
      <c r="E71" s="7" t="s">
        <v>96</v>
      </c>
      <c r="F71" s="6"/>
      <c r="G71" s="180"/>
      <c r="H71" s="181"/>
      <c r="I71" s="8"/>
      <c r="J71" s="8"/>
      <c r="K71" s="154" t="s">
        <v>24</v>
      </c>
      <c r="L71" s="155"/>
      <c r="M71" s="156"/>
      <c r="N71" s="17">
        <f>SUM(N72:N74)+0.01</f>
        <v>3454.6373321476653</v>
      </c>
      <c r="O71" s="6"/>
      <c r="S71" s="8"/>
      <c r="U71" s="19">
        <v>3894.75</v>
      </c>
    </row>
    <row r="72" spans="1:21" ht="31.5" hidden="1" customHeight="1">
      <c r="A72" s="89">
        <v>711</v>
      </c>
      <c r="B72" s="80" t="s">
        <v>26</v>
      </c>
      <c r="C72" s="150">
        <v>87682</v>
      </c>
      <c r="D72" s="151"/>
      <c r="E72" s="11" t="s">
        <v>97</v>
      </c>
      <c r="F72" s="12" t="s">
        <v>35</v>
      </c>
      <c r="G72" s="147">
        <v>51.64</v>
      </c>
      <c r="H72" s="148"/>
      <c r="I72" s="13">
        <f t="shared" ref="I72:I77" si="30">S72-(S72*$Q$7)</f>
        <v>25.341561429999999</v>
      </c>
      <c r="J72" s="10" t="s">
        <v>29</v>
      </c>
      <c r="K72" s="147">
        <f t="shared" ref="K72" si="31">I72*$R$7</f>
        <v>32.102690019523997</v>
      </c>
      <c r="L72" s="149"/>
      <c r="M72" s="148"/>
      <c r="N72" s="14">
        <f>G72*K72-0.13</f>
        <v>1657.6529126082191</v>
      </c>
      <c r="O72" s="15" t="s">
        <v>30</v>
      </c>
      <c r="S72" s="13">
        <v>28.57</v>
      </c>
      <c r="U72" s="14">
        <f>N72*R72-0.13</f>
        <v>-0.13</v>
      </c>
    </row>
    <row r="73" spans="1:21" ht="32.25" hidden="1" customHeight="1">
      <c r="A73" s="89">
        <v>712</v>
      </c>
      <c r="B73" s="80" t="s">
        <v>26</v>
      </c>
      <c r="C73" s="150">
        <v>93391</v>
      </c>
      <c r="D73" s="151"/>
      <c r="E73" s="11" t="s">
        <v>98</v>
      </c>
      <c r="F73" s="12" t="s">
        <v>35</v>
      </c>
      <c r="G73" s="147">
        <v>43.12</v>
      </c>
      <c r="H73" s="148"/>
      <c r="I73" s="13">
        <f t="shared" si="30"/>
        <v>29.146787140000001</v>
      </c>
      <c r="J73" s="10" t="s">
        <v>29</v>
      </c>
      <c r="K73" s="147">
        <f t="shared" ref="K73:K74" si="32">I73*$R$7</f>
        <v>36.923149948952002</v>
      </c>
      <c r="L73" s="149"/>
      <c r="M73" s="148"/>
      <c r="N73" s="14">
        <f>G73*K73+0.13</f>
        <v>1592.2562257988104</v>
      </c>
      <c r="O73" s="15" t="s">
        <v>30</v>
      </c>
      <c r="S73" s="13">
        <v>32.86</v>
      </c>
      <c r="U73" s="14">
        <f>N73*R73+0.13</f>
        <v>0.13</v>
      </c>
    </row>
    <row r="74" spans="1:21" ht="33" hidden="1" customHeight="1">
      <c r="A74" s="89">
        <v>713</v>
      </c>
      <c r="B74" s="80" t="s">
        <v>26</v>
      </c>
      <c r="C74" s="150">
        <v>96467</v>
      </c>
      <c r="D74" s="151"/>
      <c r="E74" s="11" t="s">
        <v>99</v>
      </c>
      <c r="F74" s="12" t="s">
        <v>75</v>
      </c>
      <c r="G74" s="147">
        <v>36.520000000000003</v>
      </c>
      <c r="H74" s="148"/>
      <c r="I74" s="13">
        <f t="shared" si="30"/>
        <v>4.4261250099999998</v>
      </c>
      <c r="J74" s="10" t="s">
        <v>29</v>
      </c>
      <c r="K74" s="147">
        <f t="shared" si="32"/>
        <v>5.6070151626679996</v>
      </c>
      <c r="L74" s="149"/>
      <c r="M74" s="148"/>
      <c r="N74" s="14">
        <f>G74*K74-0.05</f>
        <v>204.71819374063534</v>
      </c>
      <c r="O74" s="15" t="s">
        <v>30</v>
      </c>
      <c r="S74" s="18">
        <v>4.99</v>
      </c>
      <c r="U74" s="14">
        <f>N74*R74-0.05</f>
        <v>-0.05</v>
      </c>
    </row>
    <row r="75" spans="1:21" ht="14.25" hidden="1" customHeight="1">
      <c r="A75" s="88">
        <v>72</v>
      </c>
      <c r="B75" s="76"/>
      <c r="C75" s="152"/>
      <c r="D75" s="153"/>
      <c r="E75" s="16" t="s">
        <v>100</v>
      </c>
      <c r="F75" s="6"/>
      <c r="G75" s="152"/>
      <c r="H75" s="153"/>
      <c r="I75" s="6"/>
      <c r="J75" s="6"/>
      <c r="K75" s="173"/>
      <c r="L75" s="174"/>
      <c r="M75" s="175"/>
      <c r="N75" s="17">
        <f>SUM(N76:N77)</f>
        <v>467.73012538469982</v>
      </c>
      <c r="O75" s="6"/>
      <c r="S75" s="6"/>
      <c r="U75" s="17">
        <v>527.32000000000005</v>
      </c>
    </row>
    <row r="76" spans="1:21" ht="15.95" hidden="1" customHeight="1">
      <c r="A76" s="89">
        <v>721</v>
      </c>
      <c r="B76" s="80" t="s">
        <v>26</v>
      </c>
      <c r="C76" s="150">
        <v>98689</v>
      </c>
      <c r="D76" s="151"/>
      <c r="E76" s="11" t="s">
        <v>101</v>
      </c>
      <c r="F76" s="12" t="s">
        <v>75</v>
      </c>
      <c r="G76" s="170">
        <v>4.05</v>
      </c>
      <c r="H76" s="171"/>
      <c r="I76" s="13">
        <f t="shared" si="30"/>
        <v>67.74898361999999</v>
      </c>
      <c r="J76" s="10" t="s">
        <v>29</v>
      </c>
      <c r="K76" s="147">
        <f t="shared" ref="K76" si="33">I76*$R$7</f>
        <v>85.824412449815981</v>
      </c>
      <c r="L76" s="149"/>
      <c r="M76" s="148"/>
      <c r="N76" s="14">
        <f>G76*K76+0.01</f>
        <v>347.59887042175473</v>
      </c>
      <c r="O76" s="15" t="s">
        <v>30</v>
      </c>
      <c r="S76" s="13">
        <v>76.38</v>
      </c>
      <c r="U76" s="14">
        <f>391.88-N76</f>
        <v>44.28112957824527</v>
      </c>
    </row>
    <row r="77" spans="1:21" ht="14.25" hidden="1" customHeight="1">
      <c r="A77" s="89">
        <v>722</v>
      </c>
      <c r="B77" s="80" t="s">
        <v>36</v>
      </c>
      <c r="C77" s="160" t="s">
        <v>102</v>
      </c>
      <c r="D77" s="161"/>
      <c r="E77" s="11" t="s">
        <v>103</v>
      </c>
      <c r="F77" s="12" t="s">
        <v>35</v>
      </c>
      <c r="G77" s="170">
        <v>0.53</v>
      </c>
      <c r="H77" s="171"/>
      <c r="I77" s="13">
        <f t="shared" si="30"/>
        <v>178.92543828000001</v>
      </c>
      <c r="J77" s="10" t="s">
        <v>29</v>
      </c>
      <c r="K77" s="147">
        <f t="shared" ref="K77" si="34">I77*$R$7</f>
        <v>226.66274521310399</v>
      </c>
      <c r="L77" s="149"/>
      <c r="M77" s="148"/>
      <c r="N77" s="14">
        <f>G77*K77</f>
        <v>120.13125496294512</v>
      </c>
      <c r="O77" s="15" t="s">
        <v>30</v>
      </c>
      <c r="S77" s="13">
        <v>201.72</v>
      </c>
      <c r="U77" s="14">
        <v>135.44</v>
      </c>
    </row>
    <row r="78" spans="1:21" ht="23.25" hidden="1" customHeight="1">
      <c r="A78" s="162">
        <v>8</v>
      </c>
      <c r="B78" s="163"/>
      <c r="C78" s="164" t="s">
        <v>104</v>
      </c>
      <c r="D78" s="165"/>
      <c r="E78" s="165"/>
      <c r="F78" s="166"/>
      <c r="G78" s="179">
        <f>N79+N86+N93-0.01</f>
        <v>10713.873560564782</v>
      </c>
      <c r="H78" s="168"/>
      <c r="I78" s="168"/>
      <c r="J78" s="168"/>
      <c r="K78" s="168"/>
      <c r="L78" s="168"/>
      <c r="M78" s="168"/>
      <c r="N78" s="168"/>
      <c r="O78" s="169"/>
    </row>
    <row r="79" spans="1:21" ht="18.75" hidden="1" customHeight="1">
      <c r="A79" s="88">
        <v>81</v>
      </c>
      <c r="B79" s="76"/>
      <c r="C79" s="152"/>
      <c r="D79" s="153"/>
      <c r="E79" s="7" t="s">
        <v>105</v>
      </c>
      <c r="F79" s="6"/>
      <c r="G79" s="152"/>
      <c r="H79" s="153"/>
      <c r="I79" s="8"/>
      <c r="J79" s="8"/>
      <c r="K79" s="154"/>
      <c r="L79" s="155"/>
      <c r="M79" s="156"/>
      <c r="N79" s="17">
        <f>SUM(N80:N85)+0.01</f>
        <v>3743.8331261690878</v>
      </c>
      <c r="O79" s="6"/>
      <c r="S79" s="8"/>
      <c r="U79" s="19">
        <v>4220.78</v>
      </c>
    </row>
    <row r="80" spans="1:21" ht="33.75" hidden="1" customHeight="1">
      <c r="A80" s="89">
        <v>811</v>
      </c>
      <c r="B80" s="80" t="s">
        <v>26</v>
      </c>
      <c r="C80" s="150">
        <v>91293</v>
      </c>
      <c r="D80" s="151"/>
      <c r="E80" s="11" t="s">
        <v>106</v>
      </c>
      <c r="F80" s="12" t="s">
        <v>28</v>
      </c>
      <c r="G80" s="170">
        <v>5</v>
      </c>
      <c r="H80" s="171"/>
      <c r="I80" s="13">
        <f t="shared" ref="I80:I84" si="35">S80-(S80*$Q$7)</f>
        <v>180.69056628999999</v>
      </c>
      <c r="J80" s="10" t="s">
        <v>29</v>
      </c>
      <c r="K80" s="147">
        <f t="shared" ref="K80" si="36">I80*$R$7</f>
        <v>228.89880937617198</v>
      </c>
      <c r="L80" s="149"/>
      <c r="M80" s="148"/>
      <c r="N80" s="14">
        <f>G80*K80</f>
        <v>1144.49404688086</v>
      </c>
      <c r="O80" s="15" t="s">
        <v>30</v>
      </c>
      <c r="S80" s="13">
        <v>203.71</v>
      </c>
      <c r="U80" s="20">
        <v>1290.3</v>
      </c>
    </row>
    <row r="81" spans="1:21" ht="34.5" hidden="1" customHeight="1">
      <c r="A81" s="89">
        <v>812</v>
      </c>
      <c r="B81" s="80" t="s">
        <v>26</v>
      </c>
      <c r="C81" s="150">
        <v>90822</v>
      </c>
      <c r="D81" s="151"/>
      <c r="E81" s="11" t="s">
        <v>107</v>
      </c>
      <c r="F81" s="12" t="s">
        <v>28</v>
      </c>
      <c r="G81" s="170">
        <v>2</v>
      </c>
      <c r="H81" s="171"/>
      <c r="I81" s="13">
        <f t="shared" si="35"/>
        <v>291.60092125</v>
      </c>
      <c r="J81" s="10" t="s">
        <v>29</v>
      </c>
      <c r="K81" s="147">
        <f t="shared" ref="K81:K84" si="37">I81*$R$7</f>
        <v>369.40004703949995</v>
      </c>
      <c r="L81" s="149"/>
      <c r="M81" s="148"/>
      <c r="N81" s="14">
        <f>G81*K81</f>
        <v>738.8000940789999</v>
      </c>
      <c r="O81" s="15" t="s">
        <v>30</v>
      </c>
      <c r="S81" s="13">
        <v>328.75</v>
      </c>
      <c r="U81" s="14">
        <v>832.92</v>
      </c>
    </row>
    <row r="82" spans="1:21" ht="31.5" hidden="1" customHeight="1">
      <c r="A82" s="89">
        <v>813</v>
      </c>
      <c r="B82" s="80" t="s">
        <v>26</v>
      </c>
      <c r="C82" s="150">
        <v>90831</v>
      </c>
      <c r="D82" s="151"/>
      <c r="E82" s="11" t="s">
        <v>108</v>
      </c>
      <c r="F82" s="12" t="s">
        <v>28</v>
      </c>
      <c r="G82" s="170">
        <v>3</v>
      </c>
      <c r="H82" s="171"/>
      <c r="I82" s="13">
        <f t="shared" si="35"/>
        <v>55.06489792</v>
      </c>
      <c r="J82" s="10" t="s">
        <v>29</v>
      </c>
      <c r="K82" s="147">
        <f t="shared" si="37"/>
        <v>69.756212685055999</v>
      </c>
      <c r="L82" s="149"/>
      <c r="M82" s="148"/>
      <c r="N82" s="14">
        <f>G82*K82-0.01</f>
        <v>209.25863805516801</v>
      </c>
      <c r="O82" s="15" t="s">
        <v>30</v>
      </c>
      <c r="S82" s="13">
        <v>62.08</v>
      </c>
      <c r="U82" s="14">
        <v>235.92</v>
      </c>
    </row>
    <row r="83" spans="1:21" ht="33" hidden="1" customHeight="1">
      <c r="A83" s="89">
        <v>814</v>
      </c>
      <c r="B83" s="80" t="s">
        <v>26</v>
      </c>
      <c r="C83" s="150">
        <v>91306</v>
      </c>
      <c r="D83" s="151"/>
      <c r="E83" s="11" t="s">
        <v>109</v>
      </c>
      <c r="F83" s="12" t="s">
        <v>28</v>
      </c>
      <c r="G83" s="170">
        <v>1</v>
      </c>
      <c r="H83" s="171"/>
      <c r="I83" s="13">
        <f t="shared" si="35"/>
        <v>59.872432500000002</v>
      </c>
      <c r="J83" s="10" t="s">
        <v>29</v>
      </c>
      <c r="K83" s="147">
        <f t="shared" si="37"/>
        <v>75.846397491000005</v>
      </c>
      <c r="L83" s="149"/>
      <c r="M83" s="148"/>
      <c r="N83" s="14">
        <f>G83*K83</f>
        <v>75.846397491000005</v>
      </c>
      <c r="O83" s="15" t="s">
        <v>30</v>
      </c>
      <c r="S83" s="13">
        <v>67.5</v>
      </c>
      <c r="U83" s="14">
        <v>85.51</v>
      </c>
    </row>
    <row r="84" spans="1:21" ht="32.25" hidden="1" customHeight="1">
      <c r="A84" s="89">
        <v>815</v>
      </c>
      <c r="B84" s="80" t="s">
        <v>26</v>
      </c>
      <c r="C84" s="150">
        <v>91302</v>
      </c>
      <c r="D84" s="151"/>
      <c r="E84" s="11" t="s">
        <v>110</v>
      </c>
      <c r="F84" s="12" t="s">
        <v>28</v>
      </c>
      <c r="G84" s="170">
        <v>5</v>
      </c>
      <c r="H84" s="171"/>
      <c r="I84" s="13">
        <f t="shared" si="35"/>
        <v>20.702556659999999</v>
      </c>
      <c r="J84" s="10" t="s">
        <v>29</v>
      </c>
      <c r="K84" s="147">
        <f t="shared" si="37"/>
        <v>26.225998776887998</v>
      </c>
      <c r="L84" s="149"/>
      <c r="M84" s="148"/>
      <c r="N84" s="14">
        <f>G84*K84+0.01</f>
        <v>131.13999388443997</v>
      </c>
      <c r="O84" s="15" t="s">
        <v>30</v>
      </c>
      <c r="S84" s="13">
        <v>23.34</v>
      </c>
      <c r="U84" s="14">
        <v>147.85</v>
      </c>
    </row>
    <row r="85" spans="1:21" ht="42.75" hidden="1" customHeight="1">
      <c r="A85" s="89">
        <v>816</v>
      </c>
      <c r="B85" s="80" t="s">
        <v>111</v>
      </c>
      <c r="C85" s="177">
        <v>7</v>
      </c>
      <c r="D85" s="178"/>
      <c r="E85" s="11" t="s">
        <v>112</v>
      </c>
      <c r="F85" s="11" t="s">
        <v>113</v>
      </c>
      <c r="G85" s="170">
        <v>3</v>
      </c>
      <c r="H85" s="171"/>
      <c r="I85" s="13">
        <f t="shared" ref="I85:I94" si="38">S85-(S85*$Q$7)</f>
        <v>380.03472154999997</v>
      </c>
      <c r="J85" s="10" t="s">
        <v>29</v>
      </c>
      <c r="K85" s="147">
        <f t="shared" ref="K85" si="39">I85*$R$7</f>
        <v>481.42798525953992</v>
      </c>
      <c r="L85" s="149"/>
      <c r="M85" s="148"/>
      <c r="N85" s="14">
        <f>G85*K85</f>
        <v>1444.2839557786197</v>
      </c>
      <c r="O85" s="15" t="s">
        <v>30</v>
      </c>
      <c r="S85" s="13">
        <v>428.45</v>
      </c>
      <c r="U85" s="20">
        <v>1628.28</v>
      </c>
    </row>
    <row r="86" spans="1:21" ht="14.25" hidden="1" customHeight="1">
      <c r="A86" s="88">
        <v>82</v>
      </c>
      <c r="B86" s="76"/>
      <c r="C86" s="152"/>
      <c r="D86" s="153"/>
      <c r="E86" s="16" t="s">
        <v>114</v>
      </c>
      <c r="F86" s="6"/>
      <c r="G86" s="152"/>
      <c r="H86" s="153"/>
      <c r="I86" s="6"/>
      <c r="J86" s="6"/>
      <c r="K86" s="173"/>
      <c r="L86" s="174"/>
      <c r="M86" s="175"/>
      <c r="N86" s="17">
        <f>SUM(N87:N92)-0.01</f>
        <v>5397.7424799595974</v>
      </c>
      <c r="O86" s="6"/>
      <c r="S86" s="6"/>
      <c r="U86" s="22">
        <v>6085.4</v>
      </c>
    </row>
    <row r="87" spans="1:21" ht="33.75" hidden="1" customHeight="1">
      <c r="A87" s="89">
        <v>821</v>
      </c>
      <c r="B87" s="80" t="s">
        <v>26</v>
      </c>
      <c r="C87" s="150">
        <v>94576</v>
      </c>
      <c r="D87" s="151"/>
      <c r="E87" s="11" t="s">
        <v>115</v>
      </c>
      <c r="F87" s="12" t="s">
        <v>35</v>
      </c>
      <c r="G87" s="170">
        <v>3</v>
      </c>
      <c r="H87" s="171"/>
      <c r="I87" s="13">
        <f t="shared" si="38"/>
        <v>203.77915025999999</v>
      </c>
      <c r="J87" s="10" t="s">
        <v>29</v>
      </c>
      <c r="K87" s="147">
        <f t="shared" ref="K87" si="40">I87*$R$7</f>
        <v>258.14742754936799</v>
      </c>
      <c r="L87" s="149"/>
      <c r="M87" s="148"/>
      <c r="N87" s="14">
        <f>G87*K87-0.01</f>
        <v>774.43228264810398</v>
      </c>
      <c r="O87" s="15" t="s">
        <v>30</v>
      </c>
      <c r="S87" s="13">
        <v>229.74</v>
      </c>
      <c r="U87" s="14">
        <v>873.09</v>
      </c>
    </row>
    <row r="88" spans="1:21" ht="24.95" hidden="1" customHeight="1">
      <c r="A88" s="89">
        <v>822</v>
      </c>
      <c r="B88" s="80" t="s">
        <v>26</v>
      </c>
      <c r="C88" s="150">
        <v>94575</v>
      </c>
      <c r="D88" s="151"/>
      <c r="E88" s="11" t="s">
        <v>116</v>
      </c>
      <c r="F88" s="12" t="s">
        <v>35</v>
      </c>
      <c r="G88" s="170">
        <v>1.3</v>
      </c>
      <c r="H88" s="171"/>
      <c r="I88" s="13">
        <f t="shared" si="38"/>
        <v>345.14018089000001</v>
      </c>
      <c r="J88" s="10" t="s">
        <v>29</v>
      </c>
      <c r="K88" s="147">
        <f t="shared" ref="K88:K92" si="41">I88*$R$7</f>
        <v>437.22358115145198</v>
      </c>
      <c r="L88" s="149"/>
      <c r="M88" s="148"/>
      <c r="N88" s="14">
        <f>G88*K88</f>
        <v>568.39065549688758</v>
      </c>
      <c r="O88" s="15" t="s">
        <v>30</v>
      </c>
      <c r="S88" s="13">
        <v>389.11</v>
      </c>
      <c r="U88" s="14">
        <v>640.79999999999995</v>
      </c>
    </row>
    <row r="89" spans="1:21" ht="21.75" hidden="1" customHeight="1">
      <c r="A89" s="89">
        <v>823</v>
      </c>
      <c r="B89" s="80" t="s">
        <v>36</v>
      </c>
      <c r="C89" s="160" t="s">
        <v>117</v>
      </c>
      <c r="D89" s="161"/>
      <c r="E89" s="11" t="s">
        <v>118</v>
      </c>
      <c r="F89" s="12" t="s">
        <v>35</v>
      </c>
      <c r="G89" s="170">
        <v>1.44</v>
      </c>
      <c r="H89" s="171"/>
      <c r="I89" s="13">
        <f t="shared" si="38"/>
        <v>211.08802201999998</v>
      </c>
      <c r="J89" s="10" t="s">
        <v>29</v>
      </c>
      <c r="K89" s="147">
        <f t="shared" si="41"/>
        <v>267.40630629493597</v>
      </c>
      <c r="L89" s="149"/>
      <c r="M89" s="148"/>
      <c r="N89" s="14">
        <f>G89*K89</f>
        <v>385.06508106470778</v>
      </c>
      <c r="O89" s="15" t="s">
        <v>30</v>
      </c>
      <c r="S89" s="13">
        <v>237.98</v>
      </c>
      <c r="U89" s="14">
        <v>434.12</v>
      </c>
    </row>
    <row r="90" spans="1:21" ht="24.95" hidden="1" customHeight="1">
      <c r="A90" s="89">
        <v>824</v>
      </c>
      <c r="B90" s="80" t="s">
        <v>111</v>
      </c>
      <c r="C90" s="177">
        <v>8</v>
      </c>
      <c r="D90" s="178"/>
      <c r="E90" s="11" t="s">
        <v>119</v>
      </c>
      <c r="F90" s="12" t="s">
        <v>35</v>
      </c>
      <c r="G90" s="170">
        <v>3.4</v>
      </c>
      <c r="H90" s="171"/>
      <c r="I90" s="13">
        <f t="shared" si="38"/>
        <v>531.63172064000003</v>
      </c>
      <c r="J90" s="10" t="s">
        <v>29</v>
      </c>
      <c r="K90" s="147">
        <f t="shared" si="41"/>
        <v>673.47106370675203</v>
      </c>
      <c r="L90" s="149"/>
      <c r="M90" s="148"/>
      <c r="N90" s="14">
        <f>G90*K90</f>
        <v>2289.801616602957</v>
      </c>
      <c r="O90" s="15" t="s">
        <v>30</v>
      </c>
      <c r="S90" s="13">
        <v>599.36</v>
      </c>
      <c r="U90" s="20">
        <v>2581.52</v>
      </c>
    </row>
    <row r="91" spans="1:21" ht="15" hidden="1" customHeight="1">
      <c r="A91" s="89">
        <v>825</v>
      </c>
      <c r="B91" s="80" t="s">
        <v>36</v>
      </c>
      <c r="C91" s="160" t="s">
        <v>120</v>
      </c>
      <c r="D91" s="161"/>
      <c r="E91" s="11" t="s">
        <v>121</v>
      </c>
      <c r="F91" s="12" t="s">
        <v>35</v>
      </c>
      <c r="G91" s="170">
        <v>1.47</v>
      </c>
      <c r="H91" s="171"/>
      <c r="I91" s="13">
        <f t="shared" si="38"/>
        <v>176.66359082999998</v>
      </c>
      <c r="J91" s="10" t="s">
        <v>29</v>
      </c>
      <c r="K91" s="147">
        <f t="shared" si="41"/>
        <v>223.79743686344395</v>
      </c>
      <c r="L91" s="149"/>
      <c r="M91" s="148"/>
      <c r="N91" s="14">
        <f>G91*K91+0.01</f>
        <v>328.99223218926261</v>
      </c>
      <c r="O91" s="15" t="s">
        <v>30</v>
      </c>
      <c r="S91" s="13">
        <v>199.17</v>
      </c>
      <c r="U91" s="14">
        <v>370.9</v>
      </c>
    </row>
    <row r="92" spans="1:21" ht="24.95" hidden="1" customHeight="1">
      <c r="A92" s="89">
        <v>826</v>
      </c>
      <c r="B92" s="80" t="s">
        <v>26</v>
      </c>
      <c r="C92" s="150">
        <v>91338</v>
      </c>
      <c r="D92" s="151"/>
      <c r="E92" s="11" t="s">
        <v>122</v>
      </c>
      <c r="F92" s="12" t="s">
        <v>35</v>
      </c>
      <c r="G92" s="170">
        <v>1.68</v>
      </c>
      <c r="H92" s="171"/>
      <c r="I92" s="13">
        <f t="shared" si="38"/>
        <v>493.87217320999997</v>
      </c>
      <c r="J92" s="10" t="s">
        <v>29</v>
      </c>
      <c r="K92" s="147">
        <f t="shared" si="41"/>
        <v>625.63726902242797</v>
      </c>
      <c r="L92" s="149"/>
      <c r="M92" s="148"/>
      <c r="N92" s="14">
        <f>G92*K92</f>
        <v>1051.0706119576789</v>
      </c>
      <c r="O92" s="15" t="s">
        <v>30</v>
      </c>
      <c r="S92" s="13">
        <v>556.79</v>
      </c>
      <c r="U92" s="20">
        <v>1184.97</v>
      </c>
    </row>
    <row r="93" spans="1:21" ht="12.75" hidden="1" customHeight="1">
      <c r="A93" s="88">
        <v>83</v>
      </c>
      <c r="B93" s="76"/>
      <c r="C93" s="152"/>
      <c r="D93" s="153"/>
      <c r="E93" s="16" t="s">
        <v>123</v>
      </c>
      <c r="F93" s="6"/>
      <c r="G93" s="152"/>
      <c r="H93" s="153"/>
      <c r="I93" s="6"/>
      <c r="J93" s="6"/>
      <c r="K93" s="173"/>
      <c r="L93" s="174"/>
      <c r="M93" s="175"/>
      <c r="N93" s="22">
        <f>N94</f>
        <v>1572.3079544360976</v>
      </c>
      <c r="O93" s="6"/>
      <c r="S93" s="6"/>
      <c r="U93" s="22">
        <v>1772.61</v>
      </c>
    </row>
    <row r="94" spans="1:21" ht="27.75" hidden="1" customHeight="1">
      <c r="A94" s="89">
        <v>831</v>
      </c>
      <c r="B94" s="81" t="s">
        <v>124</v>
      </c>
      <c r="C94" s="160" t="s">
        <v>125</v>
      </c>
      <c r="D94" s="161"/>
      <c r="E94" s="11" t="s">
        <v>126</v>
      </c>
      <c r="F94" s="12" t="s">
        <v>35</v>
      </c>
      <c r="G94" s="170">
        <v>5.68</v>
      </c>
      <c r="H94" s="171"/>
      <c r="I94" s="13">
        <f t="shared" si="38"/>
        <v>218.51220365</v>
      </c>
      <c r="J94" s="10" t="s">
        <v>29</v>
      </c>
      <c r="K94" s="147">
        <f t="shared" ref="K94" si="42">I94*$R$7</f>
        <v>276.81125958382</v>
      </c>
      <c r="L94" s="149"/>
      <c r="M94" s="148"/>
      <c r="N94" s="14">
        <f>G94*K94+0.02</f>
        <v>1572.3079544360976</v>
      </c>
      <c r="O94" s="15" t="s">
        <v>30</v>
      </c>
      <c r="S94" s="13">
        <v>246.35</v>
      </c>
      <c r="U94" s="20">
        <v>1772.61</v>
      </c>
    </row>
    <row r="95" spans="1:21" ht="24" hidden="1" customHeight="1">
      <c r="A95" s="162">
        <v>9</v>
      </c>
      <c r="B95" s="163"/>
      <c r="C95" s="164" t="s">
        <v>127</v>
      </c>
      <c r="D95" s="165"/>
      <c r="E95" s="165"/>
      <c r="F95" s="166"/>
      <c r="G95" s="172">
        <f>N96</f>
        <v>3183.5347028020101</v>
      </c>
      <c r="H95" s="168"/>
      <c r="I95" s="168"/>
      <c r="J95" s="168"/>
      <c r="K95" s="168"/>
      <c r="L95" s="168"/>
      <c r="M95" s="168"/>
      <c r="N95" s="168"/>
      <c r="O95" s="169"/>
    </row>
    <row r="96" spans="1:21" ht="15" hidden="1" customHeight="1">
      <c r="A96" s="88">
        <v>91</v>
      </c>
      <c r="B96" s="76"/>
      <c r="C96" s="152"/>
      <c r="D96" s="153"/>
      <c r="E96" s="7" t="s">
        <v>127</v>
      </c>
      <c r="F96" s="6"/>
      <c r="G96" s="152"/>
      <c r="H96" s="153"/>
      <c r="I96" s="8"/>
      <c r="J96" s="8"/>
      <c r="K96" s="154"/>
      <c r="L96" s="155"/>
      <c r="M96" s="156"/>
      <c r="N96" s="17">
        <f>SUM(N97:N110)-0.01</f>
        <v>3183.5347028020101</v>
      </c>
      <c r="O96" s="6"/>
      <c r="S96" s="8"/>
      <c r="U96" s="19">
        <v>3589.21</v>
      </c>
    </row>
    <row r="97" spans="1:21" ht="38.25" hidden="1" customHeight="1">
      <c r="A97" s="89">
        <v>911</v>
      </c>
      <c r="B97" s="80" t="s">
        <v>26</v>
      </c>
      <c r="C97" s="150">
        <v>91855</v>
      </c>
      <c r="D97" s="151"/>
      <c r="E97" s="11" t="s">
        <v>128</v>
      </c>
      <c r="F97" s="12" t="s">
        <v>75</v>
      </c>
      <c r="G97" s="147">
        <v>31.04</v>
      </c>
      <c r="H97" s="148"/>
      <c r="I97" s="13">
        <f t="shared" ref="I97:I101" si="43">S97-(S97*$Q$7)</f>
        <v>6.0049832299999997</v>
      </c>
      <c r="J97" s="10" t="s">
        <v>29</v>
      </c>
      <c r="K97" s="147">
        <f t="shared" ref="K97" si="44">I97*$R$7</f>
        <v>7.6071127557639988</v>
      </c>
      <c r="L97" s="149"/>
      <c r="M97" s="148"/>
      <c r="N97" s="14">
        <f>G97*K97+0.11</f>
        <v>236.23477993891453</v>
      </c>
      <c r="O97" s="15" t="s">
        <v>30</v>
      </c>
      <c r="S97" s="18">
        <v>6.77</v>
      </c>
      <c r="U97" s="14">
        <v>266.32</v>
      </c>
    </row>
    <row r="98" spans="1:21" ht="26.25" hidden="1" customHeight="1">
      <c r="A98" s="89">
        <v>912</v>
      </c>
      <c r="B98" s="80" t="s">
        <v>36</v>
      </c>
      <c r="C98" s="160" t="s">
        <v>129</v>
      </c>
      <c r="D98" s="161"/>
      <c r="E98" s="11" t="s">
        <v>130</v>
      </c>
      <c r="F98" s="12" t="s">
        <v>84</v>
      </c>
      <c r="G98" s="147">
        <v>46</v>
      </c>
      <c r="H98" s="148"/>
      <c r="I98" s="13">
        <f t="shared" si="43"/>
        <v>5.3308639900000001</v>
      </c>
      <c r="J98" s="10" t="s">
        <v>29</v>
      </c>
      <c r="K98" s="147">
        <f t="shared" ref="K98:K101" si="45">I98*$R$7</f>
        <v>6.7531385025319999</v>
      </c>
      <c r="L98" s="149"/>
      <c r="M98" s="148"/>
      <c r="N98" s="14">
        <f>G98*K98-0.16</f>
        <v>310.48437111647195</v>
      </c>
      <c r="O98" s="15" t="s">
        <v>30</v>
      </c>
      <c r="S98" s="18">
        <v>6.01</v>
      </c>
      <c r="U98" s="14">
        <v>350.06</v>
      </c>
    </row>
    <row r="99" spans="1:21" ht="24.75" hidden="1" customHeight="1">
      <c r="A99" s="89">
        <v>913</v>
      </c>
      <c r="B99" s="80" t="s">
        <v>36</v>
      </c>
      <c r="C99" s="160" t="s">
        <v>131</v>
      </c>
      <c r="D99" s="161"/>
      <c r="E99" s="11" t="s">
        <v>132</v>
      </c>
      <c r="F99" s="12" t="s">
        <v>84</v>
      </c>
      <c r="G99" s="170">
        <v>9</v>
      </c>
      <c r="H99" s="171"/>
      <c r="I99" s="13">
        <f t="shared" si="43"/>
        <v>6.9718121399999999</v>
      </c>
      <c r="J99" s="10" t="s">
        <v>29</v>
      </c>
      <c r="K99" s="147">
        <f t="shared" si="45"/>
        <v>8.8318916189519996</v>
      </c>
      <c r="L99" s="149"/>
      <c r="M99" s="148"/>
      <c r="N99" s="14">
        <f>G99*K99+0.03</f>
        <v>79.517024570567997</v>
      </c>
      <c r="O99" s="15" t="s">
        <v>30</v>
      </c>
      <c r="S99" s="18">
        <v>7.86</v>
      </c>
      <c r="U99" s="14">
        <v>89.64</v>
      </c>
    </row>
    <row r="100" spans="1:21" ht="33" hidden="1" customHeight="1">
      <c r="A100" s="89">
        <v>914</v>
      </c>
      <c r="B100" s="80" t="s">
        <v>26</v>
      </c>
      <c r="C100" s="150">
        <v>91924</v>
      </c>
      <c r="D100" s="151"/>
      <c r="E100" s="11" t="s">
        <v>133</v>
      </c>
      <c r="F100" s="12" t="s">
        <v>75</v>
      </c>
      <c r="G100" s="147">
        <v>57</v>
      </c>
      <c r="H100" s="148"/>
      <c r="I100" s="13">
        <f t="shared" si="43"/>
        <v>1.40145842</v>
      </c>
      <c r="J100" s="10" t="s">
        <v>29</v>
      </c>
      <c r="K100" s="147">
        <f t="shared" si="45"/>
        <v>1.7753675264559998</v>
      </c>
      <c r="L100" s="149"/>
      <c r="M100" s="148"/>
      <c r="N100" s="14">
        <f>G100*K100-0.09</f>
        <v>101.10594900799198</v>
      </c>
      <c r="O100" s="15" t="s">
        <v>30</v>
      </c>
      <c r="S100" s="18">
        <v>1.58</v>
      </c>
      <c r="U100" s="14">
        <v>114</v>
      </c>
    </row>
    <row r="101" spans="1:21" ht="33.75" hidden="1" customHeight="1">
      <c r="A101" s="89">
        <v>915</v>
      </c>
      <c r="B101" s="80" t="s">
        <v>26</v>
      </c>
      <c r="C101" s="150">
        <v>91930</v>
      </c>
      <c r="D101" s="151"/>
      <c r="E101" s="11" t="s">
        <v>134</v>
      </c>
      <c r="F101" s="12" t="s">
        <v>75</v>
      </c>
      <c r="G101" s="147">
        <v>27.48</v>
      </c>
      <c r="H101" s="148"/>
      <c r="I101" s="13">
        <f t="shared" si="43"/>
        <v>4.2664651899999999</v>
      </c>
      <c r="J101" s="10" t="s">
        <v>29</v>
      </c>
      <c r="K101" s="147">
        <f t="shared" si="45"/>
        <v>5.404758102692</v>
      </c>
      <c r="L101" s="149"/>
      <c r="M101" s="148"/>
      <c r="N101" s="14">
        <f>G101*K101-0.09</f>
        <v>148.43275266197617</v>
      </c>
      <c r="O101" s="15" t="s">
        <v>30</v>
      </c>
      <c r="S101" s="18">
        <v>4.8099999999999996</v>
      </c>
      <c r="U101" s="14">
        <v>167.35</v>
      </c>
    </row>
    <row r="102" spans="1:21" ht="31.5" hidden="1" customHeight="1">
      <c r="A102" s="89">
        <v>916</v>
      </c>
      <c r="B102" s="80" t="s">
        <v>26</v>
      </c>
      <c r="C102" s="150">
        <v>91926</v>
      </c>
      <c r="D102" s="151"/>
      <c r="E102" s="11" t="s">
        <v>135</v>
      </c>
      <c r="F102" s="12" t="s">
        <v>75</v>
      </c>
      <c r="G102" s="147">
        <v>130</v>
      </c>
      <c r="H102" s="148"/>
      <c r="I102" s="13">
        <f t="shared" ref="I102:I110" si="46">S102-(S102*$Q$7)</f>
        <v>1.9780077700000001</v>
      </c>
      <c r="J102" s="10" t="s">
        <v>29</v>
      </c>
      <c r="K102" s="147">
        <f t="shared" ref="K102" si="47">I102*$R$7</f>
        <v>2.5057402430360001</v>
      </c>
      <c r="L102" s="149"/>
      <c r="M102" s="148"/>
      <c r="N102" s="14">
        <f>G102*K102-0.65</f>
        <v>325.09623159468003</v>
      </c>
      <c r="O102" s="15" t="s">
        <v>30</v>
      </c>
      <c r="S102" s="18">
        <v>2.23</v>
      </c>
      <c r="U102" s="14">
        <v>366.6</v>
      </c>
    </row>
    <row r="103" spans="1:21" ht="23.25" hidden="1" customHeight="1">
      <c r="A103" s="89">
        <v>917</v>
      </c>
      <c r="B103" s="80" t="s">
        <v>26</v>
      </c>
      <c r="C103" s="150">
        <v>91992</v>
      </c>
      <c r="D103" s="151"/>
      <c r="E103" s="11" t="s">
        <v>136</v>
      </c>
      <c r="F103" s="12" t="s">
        <v>28</v>
      </c>
      <c r="G103" s="170">
        <v>2</v>
      </c>
      <c r="H103" s="171"/>
      <c r="I103" s="13">
        <f t="shared" si="46"/>
        <v>24.07315286</v>
      </c>
      <c r="J103" s="10" t="s">
        <v>29</v>
      </c>
      <c r="K103" s="147">
        <f t="shared" ref="K103:K110" si="48">I103*$R$7</f>
        <v>30.495870043047997</v>
      </c>
      <c r="L103" s="149"/>
      <c r="M103" s="148"/>
      <c r="N103" s="14">
        <f>G103*K103</f>
        <v>60.991740086095994</v>
      </c>
      <c r="O103" s="15" t="s">
        <v>30</v>
      </c>
      <c r="S103" s="13">
        <v>27.14</v>
      </c>
      <c r="U103" s="14">
        <v>68.760000000000005</v>
      </c>
    </row>
    <row r="104" spans="1:21" ht="20.25" hidden="1" customHeight="1">
      <c r="A104" s="89">
        <v>918</v>
      </c>
      <c r="B104" s="80" t="s">
        <v>26</v>
      </c>
      <c r="C104" s="150">
        <v>92000</v>
      </c>
      <c r="D104" s="151"/>
      <c r="E104" s="11" t="s">
        <v>137</v>
      </c>
      <c r="F104" s="12" t="s">
        <v>28</v>
      </c>
      <c r="G104" s="170">
        <v>6</v>
      </c>
      <c r="H104" s="171"/>
      <c r="I104" s="13">
        <f t="shared" si="46"/>
        <v>16.39174152</v>
      </c>
      <c r="J104" s="10" t="s">
        <v>29</v>
      </c>
      <c r="K104" s="147">
        <f t="shared" si="48"/>
        <v>20.765058157536</v>
      </c>
      <c r="L104" s="149"/>
      <c r="M104" s="148"/>
      <c r="N104" s="14">
        <f t="shared" ref="N104:N110" si="49">G104*K104</f>
        <v>124.59034894521599</v>
      </c>
      <c r="O104" s="15" t="s">
        <v>30</v>
      </c>
      <c r="S104" s="13">
        <v>18.48</v>
      </c>
      <c r="U104" s="14">
        <v>140.46</v>
      </c>
    </row>
    <row r="105" spans="1:21" ht="24" hidden="1" customHeight="1">
      <c r="A105" s="89">
        <v>919</v>
      </c>
      <c r="B105" s="80" t="s">
        <v>26</v>
      </c>
      <c r="C105" s="150">
        <v>91996</v>
      </c>
      <c r="D105" s="151"/>
      <c r="E105" s="11" t="s">
        <v>138</v>
      </c>
      <c r="F105" s="12" t="s">
        <v>28</v>
      </c>
      <c r="G105" s="147">
        <v>17</v>
      </c>
      <c r="H105" s="148"/>
      <c r="I105" s="13">
        <f t="shared" si="46"/>
        <v>18.547149090000001</v>
      </c>
      <c r="J105" s="10" t="s">
        <v>29</v>
      </c>
      <c r="K105" s="147">
        <f t="shared" si="48"/>
        <v>23.495528467212001</v>
      </c>
      <c r="L105" s="149"/>
      <c r="M105" s="148"/>
      <c r="N105" s="14">
        <f>G105*K105+0.02</f>
        <v>399.44398394260401</v>
      </c>
      <c r="O105" s="15" t="s">
        <v>30</v>
      </c>
      <c r="S105" s="13">
        <v>20.91</v>
      </c>
      <c r="U105" s="14">
        <v>450.33</v>
      </c>
    </row>
    <row r="106" spans="1:21" ht="15.95" hidden="1" customHeight="1">
      <c r="A106" s="89">
        <v>9110</v>
      </c>
      <c r="B106" s="80" t="s">
        <v>26</v>
      </c>
      <c r="C106" s="150">
        <v>91953</v>
      </c>
      <c r="D106" s="151"/>
      <c r="E106" s="11" t="s">
        <v>139</v>
      </c>
      <c r="F106" s="12" t="s">
        <v>28</v>
      </c>
      <c r="G106" s="170">
        <v>8</v>
      </c>
      <c r="H106" s="171"/>
      <c r="I106" s="13">
        <f t="shared" si="46"/>
        <v>15.531352490000002</v>
      </c>
      <c r="J106" s="10" t="s">
        <v>29</v>
      </c>
      <c r="K106" s="147">
        <f t="shared" si="48"/>
        <v>19.675117334332</v>
      </c>
      <c r="L106" s="149"/>
      <c r="M106" s="148"/>
      <c r="N106" s="14">
        <f>G106*K106-0.01</f>
        <v>157.39093867465601</v>
      </c>
      <c r="O106" s="15" t="s">
        <v>30</v>
      </c>
      <c r="S106" s="13">
        <v>17.510000000000002</v>
      </c>
      <c r="U106" s="14">
        <v>177.44</v>
      </c>
    </row>
    <row r="107" spans="1:21" ht="14.25" hidden="1" customHeight="1">
      <c r="A107" s="89">
        <v>9111</v>
      </c>
      <c r="B107" s="80" t="s">
        <v>36</v>
      </c>
      <c r="C107" s="160" t="s">
        <v>140</v>
      </c>
      <c r="D107" s="161"/>
      <c r="E107" s="11" t="s">
        <v>141</v>
      </c>
      <c r="F107" s="12" t="s">
        <v>84</v>
      </c>
      <c r="G107" s="170">
        <v>1</v>
      </c>
      <c r="H107" s="171"/>
      <c r="I107" s="13">
        <f t="shared" si="46"/>
        <v>19.372058160000002</v>
      </c>
      <c r="J107" s="10" t="s">
        <v>29</v>
      </c>
      <c r="K107" s="147">
        <f t="shared" si="48"/>
        <v>24.540523277087999</v>
      </c>
      <c r="L107" s="149"/>
      <c r="M107" s="148"/>
      <c r="N107" s="14">
        <f t="shared" si="49"/>
        <v>24.540523277087999</v>
      </c>
      <c r="O107" s="15" t="s">
        <v>30</v>
      </c>
      <c r="S107" s="13">
        <v>21.84</v>
      </c>
      <c r="U107" s="14">
        <v>27.67</v>
      </c>
    </row>
    <row r="108" spans="1:21" ht="24" hidden="1" customHeight="1">
      <c r="A108" s="89">
        <v>9112</v>
      </c>
      <c r="B108" s="80" t="s">
        <v>26</v>
      </c>
      <c r="C108" s="150">
        <v>97592</v>
      </c>
      <c r="D108" s="151"/>
      <c r="E108" s="11" t="s">
        <v>142</v>
      </c>
      <c r="F108" s="12" t="s">
        <v>28</v>
      </c>
      <c r="G108" s="147">
        <v>10</v>
      </c>
      <c r="H108" s="148"/>
      <c r="I108" s="13">
        <f t="shared" si="46"/>
        <v>84.761624440000006</v>
      </c>
      <c r="J108" s="10" t="s">
        <v>29</v>
      </c>
      <c r="K108" s="147">
        <f t="shared" si="48"/>
        <v>107.37602584059201</v>
      </c>
      <c r="L108" s="149"/>
      <c r="M108" s="148"/>
      <c r="N108" s="14">
        <f>G108*K108+0.05</f>
        <v>1073.81025840592</v>
      </c>
      <c r="O108" s="15" t="s">
        <v>30</v>
      </c>
      <c r="S108" s="13">
        <v>95.56</v>
      </c>
      <c r="U108" s="20">
        <v>1210.5999999999999</v>
      </c>
    </row>
    <row r="109" spans="1:21" ht="21" hidden="1" customHeight="1">
      <c r="A109" s="89">
        <v>9113</v>
      </c>
      <c r="B109" s="80" t="s">
        <v>26</v>
      </c>
      <c r="C109" s="150">
        <v>93662</v>
      </c>
      <c r="D109" s="151"/>
      <c r="E109" s="11" t="s">
        <v>143</v>
      </c>
      <c r="F109" s="12" t="s">
        <v>28</v>
      </c>
      <c r="G109" s="170">
        <v>1</v>
      </c>
      <c r="H109" s="171"/>
      <c r="I109" s="13">
        <f t="shared" si="46"/>
        <v>51.729781680000002</v>
      </c>
      <c r="J109" s="10" t="s">
        <v>29</v>
      </c>
      <c r="K109" s="147">
        <f t="shared" si="48"/>
        <v>65.531287432224005</v>
      </c>
      <c r="L109" s="149"/>
      <c r="M109" s="148"/>
      <c r="N109" s="14">
        <f t="shared" si="49"/>
        <v>65.531287432224005</v>
      </c>
      <c r="O109" s="15" t="s">
        <v>30</v>
      </c>
      <c r="S109" s="13">
        <v>58.32</v>
      </c>
      <c r="U109" s="14">
        <v>73.88</v>
      </c>
    </row>
    <row r="110" spans="1:21" ht="21.75" hidden="1" customHeight="1">
      <c r="A110" s="89">
        <v>9114</v>
      </c>
      <c r="B110" s="80" t="s">
        <v>26</v>
      </c>
      <c r="C110" s="150">
        <v>9535</v>
      </c>
      <c r="D110" s="151"/>
      <c r="E110" s="11" t="s">
        <v>144</v>
      </c>
      <c r="F110" s="12" t="s">
        <v>28</v>
      </c>
      <c r="G110" s="170">
        <v>1</v>
      </c>
      <c r="H110" s="171"/>
      <c r="I110" s="13">
        <f t="shared" si="46"/>
        <v>60.289322030000001</v>
      </c>
      <c r="J110" s="10" t="s">
        <v>29</v>
      </c>
      <c r="K110" s="147">
        <f t="shared" si="48"/>
        <v>76.374513147603992</v>
      </c>
      <c r="L110" s="149"/>
      <c r="M110" s="148"/>
      <c r="N110" s="14">
        <f t="shared" si="49"/>
        <v>76.374513147603992</v>
      </c>
      <c r="O110" s="15" t="s">
        <v>30</v>
      </c>
      <c r="S110" s="13">
        <v>67.97</v>
      </c>
      <c r="U110" s="14">
        <v>86.1</v>
      </c>
    </row>
    <row r="111" spans="1:21" ht="15.75" hidden="1" customHeight="1">
      <c r="A111" s="162">
        <v>10</v>
      </c>
      <c r="B111" s="163"/>
      <c r="C111" s="164" t="s">
        <v>145</v>
      </c>
      <c r="D111" s="165"/>
      <c r="E111" s="165"/>
      <c r="F111" s="166"/>
      <c r="G111" s="176">
        <f>N112+N116+N120</f>
        <v>3643.012926320484</v>
      </c>
      <c r="H111" s="168"/>
      <c r="I111" s="168"/>
      <c r="J111" s="168"/>
      <c r="K111" s="168"/>
      <c r="L111" s="168"/>
      <c r="M111" s="168"/>
      <c r="N111" s="168"/>
      <c r="O111" s="169"/>
    </row>
    <row r="112" spans="1:21" ht="18.75" hidden="1" customHeight="1">
      <c r="A112" s="88">
        <v>101</v>
      </c>
      <c r="B112" s="76"/>
      <c r="C112" s="152"/>
      <c r="D112" s="153"/>
      <c r="E112" s="7" t="s">
        <v>146</v>
      </c>
      <c r="F112" s="6"/>
      <c r="G112" s="152"/>
      <c r="H112" s="153"/>
      <c r="I112" s="8"/>
      <c r="J112" s="8"/>
      <c r="K112" s="154"/>
      <c r="L112" s="155"/>
      <c r="M112" s="156"/>
      <c r="N112" s="17">
        <f>SUM(N113:N115)</f>
        <v>205.25844384490694</v>
      </c>
      <c r="O112" s="6"/>
      <c r="S112" s="8"/>
      <c r="U112" s="9">
        <v>231.41</v>
      </c>
    </row>
    <row r="113" spans="1:21" ht="32.25" hidden="1" customHeight="1">
      <c r="A113" s="89">
        <v>1011</v>
      </c>
      <c r="B113" s="80" t="s">
        <v>26</v>
      </c>
      <c r="C113" s="150">
        <v>89798</v>
      </c>
      <c r="D113" s="151"/>
      <c r="E113" s="11" t="s">
        <v>147</v>
      </c>
      <c r="F113" s="12" t="s">
        <v>75</v>
      </c>
      <c r="G113" s="170">
        <v>3.02</v>
      </c>
      <c r="H113" s="171"/>
      <c r="I113" s="13">
        <f t="shared" ref="I113:I119" si="50">S113-(S113*$Q$7)</f>
        <v>6.4218727600000003</v>
      </c>
      <c r="J113" s="10" t="s">
        <v>29</v>
      </c>
      <c r="K113" s="147">
        <f t="shared" ref="K113" si="51">I113*$R$7</f>
        <v>8.1352284123680008</v>
      </c>
      <c r="L113" s="149"/>
      <c r="M113" s="148"/>
      <c r="N113" s="14">
        <f>G113*K113-0.01</f>
        <v>24.558389805351361</v>
      </c>
      <c r="O113" s="15" t="s">
        <v>30</v>
      </c>
      <c r="S113" s="18">
        <v>7.24</v>
      </c>
      <c r="U113" s="14">
        <v>27.69</v>
      </c>
    </row>
    <row r="114" spans="1:21" ht="30.75" hidden="1" customHeight="1">
      <c r="A114" s="89">
        <v>1012</v>
      </c>
      <c r="B114" s="80" t="s">
        <v>26</v>
      </c>
      <c r="C114" s="150">
        <v>89711</v>
      </c>
      <c r="D114" s="151"/>
      <c r="E114" s="11" t="s">
        <v>148</v>
      </c>
      <c r="F114" s="12" t="s">
        <v>75</v>
      </c>
      <c r="G114" s="170">
        <v>7.67</v>
      </c>
      <c r="H114" s="171"/>
      <c r="I114" s="13">
        <f t="shared" si="50"/>
        <v>11.4422871</v>
      </c>
      <c r="J114" s="10" t="s">
        <v>29</v>
      </c>
      <c r="K114" s="147">
        <f t="shared" ref="K114:K115" si="52">I114*$R$7</f>
        <v>14.495089298279998</v>
      </c>
      <c r="L114" s="149"/>
      <c r="M114" s="148"/>
      <c r="N114" s="14">
        <f>G114*K114-0.01</f>
        <v>111.16733491780758</v>
      </c>
      <c r="O114" s="15" t="s">
        <v>30</v>
      </c>
      <c r="S114" s="13">
        <v>12.9</v>
      </c>
      <c r="U114" s="14">
        <v>125.33</v>
      </c>
    </row>
    <row r="115" spans="1:21" ht="31.5" hidden="1" customHeight="1">
      <c r="A115" s="89">
        <v>1013</v>
      </c>
      <c r="B115" s="80" t="s">
        <v>26</v>
      </c>
      <c r="C115" s="150">
        <v>89707</v>
      </c>
      <c r="D115" s="151"/>
      <c r="E115" s="11" t="s">
        <v>149</v>
      </c>
      <c r="F115" s="12" t="s">
        <v>28</v>
      </c>
      <c r="G115" s="170">
        <v>3</v>
      </c>
      <c r="H115" s="171"/>
      <c r="I115" s="13">
        <f t="shared" si="50"/>
        <v>18.298789369999998</v>
      </c>
      <c r="J115" s="10" t="s">
        <v>29</v>
      </c>
      <c r="K115" s="147">
        <f t="shared" si="52"/>
        <v>23.180906373915995</v>
      </c>
      <c r="L115" s="149"/>
      <c r="M115" s="148"/>
      <c r="N115" s="14">
        <f>G115*K115-0.01</f>
        <v>69.532719121747974</v>
      </c>
      <c r="O115" s="15" t="s">
        <v>30</v>
      </c>
      <c r="S115" s="13">
        <v>20.63</v>
      </c>
      <c r="U115" s="14">
        <v>78.39</v>
      </c>
    </row>
    <row r="116" spans="1:21" ht="13.5" hidden="1" customHeight="1">
      <c r="A116" s="88">
        <v>102</v>
      </c>
      <c r="B116" s="76"/>
      <c r="C116" s="152"/>
      <c r="D116" s="153"/>
      <c r="E116" s="16" t="s">
        <v>150</v>
      </c>
      <c r="F116" s="6"/>
      <c r="G116" s="152"/>
      <c r="H116" s="153"/>
      <c r="I116" s="6"/>
      <c r="J116" s="6"/>
      <c r="K116" s="173"/>
      <c r="L116" s="174"/>
      <c r="M116" s="175"/>
      <c r="N116" s="17">
        <f>SUM(N117:N119)</f>
        <v>501.5787428039846</v>
      </c>
      <c r="O116" s="6"/>
      <c r="S116" s="6"/>
      <c r="U116" s="17">
        <v>565.48</v>
      </c>
    </row>
    <row r="117" spans="1:21" ht="25.5" hidden="1" customHeight="1">
      <c r="A117" s="89">
        <v>1021</v>
      </c>
      <c r="B117" s="80" t="s">
        <v>36</v>
      </c>
      <c r="C117" s="160" t="s">
        <v>151</v>
      </c>
      <c r="D117" s="161"/>
      <c r="E117" s="11" t="s">
        <v>152</v>
      </c>
      <c r="F117" s="12" t="s">
        <v>75</v>
      </c>
      <c r="G117" s="147">
        <v>13.69</v>
      </c>
      <c r="H117" s="148"/>
      <c r="I117" s="13">
        <f t="shared" si="50"/>
        <v>13.260635049999999</v>
      </c>
      <c r="J117" s="10" t="s">
        <v>29</v>
      </c>
      <c r="K117" s="147">
        <f t="shared" ref="K117" si="53">I117*$R$7</f>
        <v>16.798572481339999</v>
      </c>
      <c r="L117" s="149"/>
      <c r="M117" s="148"/>
      <c r="N117" s="14">
        <f>G117*K117+0.02</f>
        <v>229.99245726954459</v>
      </c>
      <c r="O117" s="15" t="s">
        <v>30</v>
      </c>
      <c r="S117" s="13">
        <v>14.95</v>
      </c>
      <c r="U117" s="14">
        <v>259.29000000000002</v>
      </c>
    </row>
    <row r="118" spans="1:21" ht="28.5" hidden="1" customHeight="1">
      <c r="A118" s="89">
        <v>1022</v>
      </c>
      <c r="B118" s="80" t="s">
        <v>26</v>
      </c>
      <c r="C118" s="150">
        <v>89985</v>
      </c>
      <c r="D118" s="151"/>
      <c r="E118" s="11" t="s">
        <v>153</v>
      </c>
      <c r="F118" s="12" t="s">
        <v>28</v>
      </c>
      <c r="G118" s="170">
        <v>1</v>
      </c>
      <c r="H118" s="171"/>
      <c r="I118" s="13">
        <f t="shared" si="50"/>
        <v>51.614471809999998</v>
      </c>
      <c r="J118" s="10" t="s">
        <v>29</v>
      </c>
      <c r="K118" s="147">
        <f t="shared" ref="K118:K119" si="54">I118*$R$7</f>
        <v>65.385212888907986</v>
      </c>
      <c r="L118" s="149"/>
      <c r="M118" s="148"/>
      <c r="N118" s="14">
        <f t="shared" ref="N118:N119" si="55">G118*K118</f>
        <v>65.385212888907986</v>
      </c>
      <c r="O118" s="15" t="s">
        <v>30</v>
      </c>
      <c r="S118" s="13">
        <v>58.19</v>
      </c>
      <c r="U118" s="14">
        <v>73.72</v>
      </c>
    </row>
    <row r="119" spans="1:21" ht="33" hidden="1" customHeight="1">
      <c r="A119" s="89">
        <v>1023</v>
      </c>
      <c r="B119" s="80" t="s">
        <v>26</v>
      </c>
      <c r="C119" s="150">
        <v>89987</v>
      </c>
      <c r="D119" s="151"/>
      <c r="E119" s="11" t="s">
        <v>154</v>
      </c>
      <c r="F119" s="12" t="s">
        <v>28</v>
      </c>
      <c r="G119" s="170">
        <v>3</v>
      </c>
      <c r="H119" s="171"/>
      <c r="I119" s="13">
        <f t="shared" si="50"/>
        <v>54.257728830000005</v>
      </c>
      <c r="J119" s="10" t="s">
        <v>29</v>
      </c>
      <c r="K119" s="147">
        <f t="shared" si="54"/>
        <v>68.733690881843998</v>
      </c>
      <c r="L119" s="149"/>
      <c r="M119" s="148"/>
      <c r="N119" s="14">
        <f t="shared" si="55"/>
        <v>206.20107264553201</v>
      </c>
      <c r="O119" s="15" t="s">
        <v>30</v>
      </c>
      <c r="S119" s="13">
        <v>61.17</v>
      </c>
      <c r="U119" s="14">
        <v>232.47</v>
      </c>
    </row>
    <row r="120" spans="1:21" ht="18.75" hidden="1" customHeight="1">
      <c r="A120" s="88">
        <v>103</v>
      </c>
      <c r="B120" s="76"/>
      <c r="C120" s="152"/>
      <c r="D120" s="153"/>
      <c r="E120" s="16" t="s">
        <v>155</v>
      </c>
      <c r="F120" s="6"/>
      <c r="G120" s="152"/>
      <c r="H120" s="153"/>
      <c r="I120" s="6"/>
      <c r="J120" s="6"/>
      <c r="K120" s="173"/>
      <c r="L120" s="174"/>
      <c r="M120" s="175"/>
      <c r="N120" s="17">
        <f>SUM(N121:N128)+0.01</f>
        <v>2936.1757396715925</v>
      </c>
      <c r="O120" s="6"/>
      <c r="S120" s="6"/>
      <c r="U120" s="22">
        <v>3310.23</v>
      </c>
    </row>
    <row r="121" spans="1:21" ht="31.5" hidden="1" customHeight="1">
      <c r="A121" s="89">
        <v>1031</v>
      </c>
      <c r="B121" s="80" t="s">
        <v>26</v>
      </c>
      <c r="C121" s="150">
        <v>86931</v>
      </c>
      <c r="D121" s="151"/>
      <c r="E121" s="11" t="s">
        <v>156</v>
      </c>
      <c r="F121" s="12" t="s">
        <v>28</v>
      </c>
      <c r="G121" s="170">
        <v>3</v>
      </c>
      <c r="H121" s="171"/>
      <c r="I121" s="13">
        <f t="shared" ref="I121:I128" si="56">S121-(S121*$Q$7)</f>
        <v>331.24090655999998</v>
      </c>
      <c r="J121" s="10" t="s">
        <v>29</v>
      </c>
      <c r="K121" s="147">
        <f t="shared" ref="K121" si="57">I121*$R$7</f>
        <v>419.61598043020797</v>
      </c>
      <c r="L121" s="149"/>
      <c r="M121" s="148"/>
      <c r="N121" s="14">
        <f>G121*K121-0.01</f>
        <v>1258.837941290624</v>
      </c>
      <c r="O121" s="15" t="s">
        <v>30</v>
      </c>
      <c r="S121" s="13">
        <v>373.44</v>
      </c>
      <c r="U121" s="20">
        <v>1419.21</v>
      </c>
    </row>
    <row r="122" spans="1:21" ht="12.75" hidden="1" customHeight="1">
      <c r="A122" s="89">
        <v>1032</v>
      </c>
      <c r="B122" s="80" t="s">
        <v>36</v>
      </c>
      <c r="C122" s="160" t="s">
        <v>157</v>
      </c>
      <c r="D122" s="161"/>
      <c r="E122" s="11" t="s">
        <v>158</v>
      </c>
      <c r="F122" s="12" t="s">
        <v>84</v>
      </c>
      <c r="G122" s="170">
        <v>3</v>
      </c>
      <c r="H122" s="171"/>
      <c r="I122" s="13">
        <f t="shared" si="56"/>
        <v>22.28141488</v>
      </c>
      <c r="J122" s="10" t="s">
        <v>29</v>
      </c>
      <c r="K122" s="147">
        <f t="shared" ref="K122:K128" si="58">I122*$R$7</f>
        <v>28.226096369983999</v>
      </c>
      <c r="L122" s="149"/>
      <c r="M122" s="148"/>
      <c r="N122" s="14">
        <f t="shared" ref="N122" si="59">G122*K122-0.01</f>
        <v>84.668289109951999</v>
      </c>
      <c r="O122" s="15" t="s">
        <v>30</v>
      </c>
      <c r="S122" s="13">
        <v>25.12</v>
      </c>
      <c r="U122" s="14">
        <v>95.46</v>
      </c>
    </row>
    <row r="123" spans="1:21" ht="38.25" hidden="1" customHeight="1">
      <c r="A123" s="89">
        <v>1033</v>
      </c>
      <c r="B123" s="80" t="s">
        <v>26</v>
      </c>
      <c r="C123" s="150">
        <v>86939</v>
      </c>
      <c r="D123" s="151"/>
      <c r="E123" s="11" t="s">
        <v>159</v>
      </c>
      <c r="F123" s="12" t="s">
        <v>28</v>
      </c>
      <c r="G123" s="170">
        <v>3</v>
      </c>
      <c r="H123" s="171"/>
      <c r="I123" s="13">
        <f t="shared" si="56"/>
        <v>235.14343490000002</v>
      </c>
      <c r="J123" s="10" t="s">
        <v>29</v>
      </c>
      <c r="K123" s="147">
        <f t="shared" si="58"/>
        <v>297.87970333132</v>
      </c>
      <c r="L123" s="149"/>
      <c r="M123" s="148"/>
      <c r="N123" s="14">
        <f>G123*K123</f>
        <v>893.63910999396001</v>
      </c>
      <c r="O123" s="15" t="s">
        <v>30</v>
      </c>
      <c r="S123" s="13">
        <v>265.10000000000002</v>
      </c>
      <c r="U123" s="20">
        <v>1007.49</v>
      </c>
    </row>
    <row r="124" spans="1:21" ht="18" hidden="1" customHeight="1">
      <c r="A124" s="89">
        <v>1034</v>
      </c>
      <c r="B124" s="80" t="s">
        <v>36</v>
      </c>
      <c r="C124" s="160" t="s">
        <v>160</v>
      </c>
      <c r="D124" s="161"/>
      <c r="E124" s="11" t="s">
        <v>161</v>
      </c>
      <c r="F124" s="12" t="s">
        <v>84</v>
      </c>
      <c r="G124" s="170">
        <v>1</v>
      </c>
      <c r="H124" s="171"/>
      <c r="I124" s="13">
        <f t="shared" si="56"/>
        <v>23.203893839999999</v>
      </c>
      <c r="J124" s="10" t="s">
        <v>29</v>
      </c>
      <c r="K124" s="147">
        <f t="shared" si="58"/>
        <v>29.394692716511997</v>
      </c>
      <c r="L124" s="149"/>
      <c r="M124" s="148"/>
      <c r="N124" s="14">
        <f>G124*K124</f>
        <v>29.394692716511997</v>
      </c>
      <c r="O124" s="15" t="s">
        <v>30</v>
      </c>
      <c r="S124" s="13">
        <v>26.16</v>
      </c>
      <c r="U124" s="14">
        <v>33.14</v>
      </c>
    </row>
    <row r="125" spans="1:21" ht="25.5" hidden="1" customHeight="1">
      <c r="A125" s="89">
        <v>1035</v>
      </c>
      <c r="B125" s="80" t="s">
        <v>26</v>
      </c>
      <c r="C125" s="150">
        <v>95544</v>
      </c>
      <c r="D125" s="151"/>
      <c r="E125" s="11" t="s">
        <v>162</v>
      </c>
      <c r="F125" s="12" t="s">
        <v>28</v>
      </c>
      <c r="G125" s="170">
        <v>3</v>
      </c>
      <c r="H125" s="171"/>
      <c r="I125" s="13">
        <f t="shared" si="56"/>
        <v>23.860273100000001</v>
      </c>
      <c r="J125" s="10" t="s">
        <v>29</v>
      </c>
      <c r="K125" s="147">
        <f t="shared" si="58"/>
        <v>30.22619396308</v>
      </c>
      <c r="L125" s="149"/>
      <c r="M125" s="148"/>
      <c r="N125" s="14">
        <f>G125*K125+0.01</f>
        <v>90.688581889240012</v>
      </c>
      <c r="O125" s="15" t="s">
        <v>30</v>
      </c>
      <c r="S125" s="13">
        <v>26.9</v>
      </c>
      <c r="U125" s="14">
        <v>102.24</v>
      </c>
    </row>
    <row r="126" spans="1:21" ht="41.25" hidden="1" customHeight="1">
      <c r="A126" s="89">
        <v>1036</v>
      </c>
      <c r="B126" s="80" t="s">
        <v>26</v>
      </c>
      <c r="C126" s="150">
        <v>86929</v>
      </c>
      <c r="D126" s="151"/>
      <c r="E126" s="11" t="s">
        <v>163</v>
      </c>
      <c r="F126" s="12" t="s">
        <v>28</v>
      </c>
      <c r="G126" s="170">
        <v>1</v>
      </c>
      <c r="H126" s="171"/>
      <c r="I126" s="13">
        <f t="shared" si="56"/>
        <v>191.29907433</v>
      </c>
      <c r="J126" s="10" t="s">
        <v>29</v>
      </c>
      <c r="K126" s="147">
        <f t="shared" si="58"/>
        <v>242.33766736124397</v>
      </c>
      <c r="L126" s="149"/>
      <c r="M126" s="148"/>
      <c r="N126" s="14">
        <f>G126*K126</f>
        <v>242.33766736124397</v>
      </c>
      <c r="O126" s="15" t="s">
        <v>30</v>
      </c>
      <c r="S126" s="13">
        <v>215.67</v>
      </c>
      <c r="U126" s="14">
        <v>273.20999999999998</v>
      </c>
    </row>
    <row r="127" spans="1:21" ht="24.95" hidden="1" customHeight="1">
      <c r="A127" s="89">
        <v>1037</v>
      </c>
      <c r="B127" s="80" t="s">
        <v>26</v>
      </c>
      <c r="C127" s="150">
        <v>86909</v>
      </c>
      <c r="D127" s="151"/>
      <c r="E127" s="11" t="s">
        <v>164</v>
      </c>
      <c r="F127" s="12" t="s">
        <v>28</v>
      </c>
      <c r="G127" s="170">
        <v>3</v>
      </c>
      <c r="H127" s="171"/>
      <c r="I127" s="13">
        <f t="shared" si="56"/>
        <v>65.983855610000006</v>
      </c>
      <c r="J127" s="10" t="s">
        <v>29</v>
      </c>
      <c r="K127" s="147">
        <f t="shared" si="58"/>
        <v>83.588348286748001</v>
      </c>
      <c r="L127" s="149"/>
      <c r="M127" s="148"/>
      <c r="N127" s="14">
        <f>G127*K127+0.01</f>
        <v>250.77504486024401</v>
      </c>
      <c r="O127" s="15" t="s">
        <v>30</v>
      </c>
      <c r="S127" s="13">
        <v>74.39</v>
      </c>
      <c r="U127" s="14">
        <v>282.72000000000003</v>
      </c>
    </row>
    <row r="128" spans="1:21" ht="15.95" hidden="1" customHeight="1">
      <c r="A128" s="89">
        <v>1038</v>
      </c>
      <c r="B128" s="80" t="s">
        <v>36</v>
      </c>
      <c r="C128" s="160" t="s">
        <v>165</v>
      </c>
      <c r="D128" s="161"/>
      <c r="E128" s="11" t="s">
        <v>166</v>
      </c>
      <c r="F128" s="12" t="s">
        <v>84</v>
      </c>
      <c r="G128" s="170">
        <v>1</v>
      </c>
      <c r="H128" s="171"/>
      <c r="I128" s="13">
        <f t="shared" si="56"/>
        <v>67.74898361999999</v>
      </c>
      <c r="J128" s="10" t="s">
        <v>29</v>
      </c>
      <c r="K128" s="147">
        <f t="shared" si="58"/>
        <v>85.824412449815981</v>
      </c>
      <c r="L128" s="149"/>
      <c r="M128" s="148"/>
      <c r="N128" s="14">
        <f t="shared" ref="N128" si="60">G128*K128</f>
        <v>85.824412449815981</v>
      </c>
      <c r="O128" s="15" t="s">
        <v>30</v>
      </c>
      <c r="S128" s="13">
        <v>76.38</v>
      </c>
      <c r="U128" s="14">
        <v>96.76</v>
      </c>
    </row>
    <row r="129" spans="1:21" ht="13.5" hidden="1" customHeight="1">
      <c r="A129" s="162">
        <v>11</v>
      </c>
      <c r="B129" s="163"/>
      <c r="C129" s="164" t="s">
        <v>167</v>
      </c>
      <c r="D129" s="165"/>
      <c r="E129" s="165"/>
      <c r="F129" s="166"/>
      <c r="G129" s="172">
        <f>N130</f>
        <v>2436.0390892172704</v>
      </c>
      <c r="H129" s="168"/>
      <c r="I129" s="168"/>
      <c r="J129" s="168"/>
      <c r="K129" s="168"/>
      <c r="L129" s="168"/>
      <c r="M129" s="168"/>
      <c r="N129" s="168"/>
      <c r="O129" s="169"/>
    </row>
    <row r="130" spans="1:21" ht="21.75" hidden="1" customHeight="1">
      <c r="A130" s="88">
        <v>111</v>
      </c>
      <c r="B130" s="76"/>
      <c r="C130" s="152"/>
      <c r="D130" s="153"/>
      <c r="E130" s="7" t="s">
        <v>167</v>
      </c>
      <c r="F130" s="6"/>
      <c r="G130" s="152"/>
      <c r="H130" s="153"/>
      <c r="I130" s="8"/>
      <c r="J130" s="8"/>
      <c r="K130" s="154"/>
      <c r="L130" s="155"/>
      <c r="M130" s="156"/>
      <c r="N130" s="17">
        <f>SUM(N131:N134)+0.01</f>
        <v>2436.0390892172704</v>
      </c>
      <c r="O130" s="6"/>
      <c r="S130" s="8"/>
      <c r="U130" s="19">
        <v>2746.38</v>
      </c>
    </row>
    <row r="131" spans="1:21" ht="32.25" hidden="1" customHeight="1">
      <c r="A131" s="89">
        <v>1111</v>
      </c>
      <c r="B131" s="80" t="s">
        <v>26</v>
      </c>
      <c r="C131" s="150">
        <v>86937</v>
      </c>
      <c r="D131" s="151"/>
      <c r="E131" s="11" t="s">
        <v>168</v>
      </c>
      <c r="F131" s="12" t="s">
        <v>28</v>
      </c>
      <c r="G131" s="170">
        <v>1</v>
      </c>
      <c r="H131" s="171"/>
      <c r="I131" s="13">
        <f t="shared" ref="I131:I134" si="61">S131-(S131*$Q$7)</f>
        <v>122.87597147</v>
      </c>
      <c r="J131" s="10" t="s">
        <v>29</v>
      </c>
      <c r="K131" s="147">
        <f t="shared" ref="K131" si="62">I131*$R$7</f>
        <v>155.659280658196</v>
      </c>
      <c r="L131" s="149"/>
      <c r="M131" s="148"/>
      <c r="N131" s="14">
        <f t="shared" ref="N131:N134" si="63">G131*K131</f>
        <v>155.659280658196</v>
      </c>
      <c r="O131" s="15" t="s">
        <v>30</v>
      </c>
      <c r="S131" s="13">
        <v>138.53</v>
      </c>
      <c r="U131" s="14">
        <v>175.49</v>
      </c>
    </row>
    <row r="132" spans="1:21" ht="32.25" hidden="1" customHeight="1">
      <c r="A132" s="89">
        <v>1112</v>
      </c>
      <c r="B132" s="80" t="s">
        <v>26</v>
      </c>
      <c r="C132" s="150">
        <v>86889</v>
      </c>
      <c r="D132" s="151"/>
      <c r="E132" s="21" t="s">
        <v>169</v>
      </c>
      <c r="F132" s="12" t="s">
        <v>28</v>
      </c>
      <c r="G132" s="170">
        <v>2.5299999999999998</v>
      </c>
      <c r="H132" s="171"/>
      <c r="I132" s="13">
        <f t="shared" si="61"/>
        <v>492.79890442000004</v>
      </c>
      <c r="J132" s="10" t="s">
        <v>29</v>
      </c>
      <c r="K132" s="147">
        <f t="shared" ref="K132:K134" si="64">I132*$R$7</f>
        <v>624.277652119256</v>
      </c>
      <c r="L132" s="149"/>
      <c r="M132" s="148"/>
      <c r="N132" s="14">
        <f t="shared" si="63"/>
        <v>1579.4224598617175</v>
      </c>
      <c r="O132" s="15" t="s">
        <v>30</v>
      </c>
      <c r="S132" s="13">
        <v>555.58000000000004</v>
      </c>
      <c r="U132" s="20">
        <v>1780.64</v>
      </c>
    </row>
    <row r="133" spans="1:21" ht="30.75" hidden="1" customHeight="1">
      <c r="A133" s="89">
        <v>1113</v>
      </c>
      <c r="B133" s="80" t="s">
        <v>26</v>
      </c>
      <c r="C133" s="150">
        <v>86935</v>
      </c>
      <c r="D133" s="151"/>
      <c r="E133" s="11" t="s">
        <v>170</v>
      </c>
      <c r="F133" s="12" t="s">
        <v>28</v>
      </c>
      <c r="G133" s="170">
        <v>2</v>
      </c>
      <c r="H133" s="171"/>
      <c r="I133" s="13">
        <f t="shared" si="61"/>
        <v>163.65131550000001</v>
      </c>
      <c r="J133" s="10" t="s">
        <v>29</v>
      </c>
      <c r="K133" s="147">
        <f t="shared" si="64"/>
        <v>207.3134864754</v>
      </c>
      <c r="L133" s="149"/>
      <c r="M133" s="148"/>
      <c r="N133" s="14">
        <f>G133*K133-0.01</f>
        <v>414.6169729508</v>
      </c>
      <c r="O133" s="15" t="s">
        <v>30</v>
      </c>
      <c r="S133" s="13">
        <v>184.5</v>
      </c>
      <c r="U133" s="14">
        <v>467.44</v>
      </c>
    </row>
    <row r="134" spans="1:21" ht="21" hidden="1" customHeight="1">
      <c r="A134" s="89">
        <v>1114</v>
      </c>
      <c r="B134" s="80" t="s">
        <v>36</v>
      </c>
      <c r="C134" s="160" t="s">
        <v>171</v>
      </c>
      <c r="D134" s="161"/>
      <c r="E134" s="11" t="s">
        <v>172</v>
      </c>
      <c r="F134" s="12" t="s">
        <v>35</v>
      </c>
      <c r="G134" s="170">
        <v>0.88</v>
      </c>
      <c r="H134" s="171"/>
      <c r="I134" s="13">
        <f t="shared" si="61"/>
        <v>256.84830042999999</v>
      </c>
      <c r="J134" s="10" t="s">
        <v>29</v>
      </c>
      <c r="K134" s="147">
        <f t="shared" si="64"/>
        <v>325.37542698472396</v>
      </c>
      <c r="L134" s="149"/>
      <c r="M134" s="148"/>
      <c r="N134" s="14">
        <f t="shared" si="63"/>
        <v>286.33037574655708</v>
      </c>
      <c r="O134" s="15" t="s">
        <v>30</v>
      </c>
      <c r="S134" s="13">
        <v>289.57</v>
      </c>
      <c r="U134" s="14">
        <v>322.81</v>
      </c>
    </row>
    <row r="135" spans="1:21" ht="15" hidden="1" customHeight="1">
      <c r="A135" s="162">
        <v>12</v>
      </c>
      <c r="B135" s="163"/>
      <c r="C135" s="164" t="s">
        <v>173</v>
      </c>
      <c r="D135" s="165"/>
      <c r="E135" s="165"/>
      <c r="F135" s="166"/>
      <c r="G135" s="172">
        <f>N136</f>
        <v>6254.5946766854349</v>
      </c>
      <c r="H135" s="168"/>
      <c r="I135" s="168"/>
      <c r="J135" s="168"/>
      <c r="K135" s="168"/>
      <c r="L135" s="168"/>
      <c r="M135" s="168"/>
      <c r="N135" s="168"/>
      <c r="O135" s="169"/>
    </row>
    <row r="136" spans="1:21" ht="15" hidden="1" customHeight="1">
      <c r="A136" s="88">
        <v>121</v>
      </c>
      <c r="B136" s="76"/>
      <c r="C136" s="152"/>
      <c r="D136" s="153"/>
      <c r="E136" s="7" t="s">
        <v>173</v>
      </c>
      <c r="F136" s="6"/>
      <c r="G136" s="152"/>
      <c r="H136" s="153"/>
      <c r="I136" s="8"/>
      <c r="J136" s="8"/>
      <c r="K136" s="154"/>
      <c r="L136" s="155"/>
      <c r="M136" s="156"/>
      <c r="N136" s="17">
        <f>SUM(N137:N145)+0.01</f>
        <v>6254.5946766854349</v>
      </c>
      <c r="O136" s="6"/>
      <c r="S136" s="8"/>
      <c r="U136" s="19">
        <v>7051.54</v>
      </c>
    </row>
    <row r="137" spans="1:21" ht="27.75" hidden="1" customHeight="1">
      <c r="A137" s="89">
        <v>1211</v>
      </c>
      <c r="B137" s="80" t="s">
        <v>26</v>
      </c>
      <c r="C137" s="150">
        <v>88485</v>
      </c>
      <c r="D137" s="151"/>
      <c r="E137" s="11" t="s">
        <v>174</v>
      </c>
      <c r="F137" s="12" t="s">
        <v>35</v>
      </c>
      <c r="G137" s="147">
        <v>200.25</v>
      </c>
      <c r="H137" s="148"/>
      <c r="I137" s="13">
        <f t="shared" ref="I137" si="65">S137-(S137*$Q$7)</f>
        <v>1.8981778600000001</v>
      </c>
      <c r="J137" s="10" t="s">
        <v>29</v>
      </c>
      <c r="K137" s="147">
        <f t="shared" ref="K137" si="66">I137*$R$7</f>
        <v>2.4046117130479998</v>
      </c>
      <c r="L137" s="149"/>
      <c r="M137" s="148"/>
      <c r="N137" s="14">
        <f>G137*K137-0.19</f>
        <v>481.33349553786195</v>
      </c>
      <c r="O137" s="15" t="s">
        <v>30</v>
      </c>
      <c r="S137" s="18">
        <v>2.14</v>
      </c>
      <c r="U137" s="14">
        <v>542.67999999999995</v>
      </c>
    </row>
    <row r="138" spans="1:21" ht="24.75" hidden="1" customHeight="1">
      <c r="A138" s="89">
        <v>1212</v>
      </c>
      <c r="B138" s="80" t="s">
        <v>26</v>
      </c>
      <c r="C138" s="150">
        <v>88484</v>
      </c>
      <c r="D138" s="151"/>
      <c r="E138" s="11" t="s">
        <v>175</v>
      </c>
      <c r="F138" s="12" t="s">
        <v>35</v>
      </c>
      <c r="G138" s="147">
        <v>43.14</v>
      </c>
      <c r="H138" s="148"/>
      <c r="I138" s="13">
        <f t="shared" ref="I138:I145" si="67">S138-(S138*$Q$7)</f>
        <v>2.1731475500000004</v>
      </c>
      <c r="J138" s="10" t="s">
        <v>29</v>
      </c>
      <c r="K138" s="147">
        <f t="shared" ref="K138" si="68">I138*$R$7</f>
        <v>2.7529433163400001</v>
      </c>
      <c r="L138" s="149"/>
      <c r="M138" s="148"/>
      <c r="N138" s="14">
        <f>G138*K138-0.16</f>
        <v>118.60197466690761</v>
      </c>
      <c r="O138" s="15" t="s">
        <v>30</v>
      </c>
      <c r="S138" s="18">
        <v>2.4500000000000002</v>
      </c>
      <c r="U138" s="14">
        <v>133.72999999999999</v>
      </c>
    </row>
    <row r="139" spans="1:21" ht="23.25" hidden="1" customHeight="1">
      <c r="A139" s="89">
        <v>1213</v>
      </c>
      <c r="B139" s="80" t="s">
        <v>36</v>
      </c>
      <c r="C139" s="160" t="s">
        <v>176</v>
      </c>
      <c r="D139" s="161"/>
      <c r="E139" s="11" t="s">
        <v>177</v>
      </c>
      <c r="F139" s="12" t="s">
        <v>35</v>
      </c>
      <c r="G139" s="147">
        <v>70.319999999999993</v>
      </c>
      <c r="H139" s="148"/>
      <c r="I139" s="13">
        <f t="shared" si="67"/>
        <v>9.8811688600000007</v>
      </c>
      <c r="J139" s="10" t="s">
        <v>29</v>
      </c>
      <c r="K139" s="147">
        <f t="shared" ref="K139:K145" si="69">I139*$R$7</f>
        <v>12.517464711848</v>
      </c>
      <c r="L139" s="149"/>
      <c r="M139" s="148"/>
      <c r="N139" s="14">
        <f>G139*K139-0.15</f>
        <v>880.07811853715123</v>
      </c>
      <c r="O139" s="15" t="s">
        <v>30</v>
      </c>
      <c r="S139" s="13">
        <v>11.14</v>
      </c>
      <c r="U139" s="14">
        <v>992.22</v>
      </c>
    </row>
    <row r="140" spans="1:21" ht="26.25" hidden="1" customHeight="1">
      <c r="A140" s="89">
        <v>1214</v>
      </c>
      <c r="B140" s="80" t="s">
        <v>36</v>
      </c>
      <c r="C140" s="160" t="s">
        <v>178</v>
      </c>
      <c r="D140" s="161"/>
      <c r="E140" s="11" t="s">
        <v>179</v>
      </c>
      <c r="F140" s="12" t="s">
        <v>35</v>
      </c>
      <c r="G140" s="147">
        <v>43.14</v>
      </c>
      <c r="H140" s="148"/>
      <c r="I140" s="13">
        <f t="shared" si="67"/>
        <v>16.578011310000001</v>
      </c>
      <c r="J140" s="10" t="s">
        <v>29</v>
      </c>
      <c r="K140" s="147">
        <f t="shared" si="69"/>
        <v>21.001024727508</v>
      </c>
      <c r="L140" s="149"/>
      <c r="M140" s="148"/>
      <c r="N140" s="14">
        <f>G140*K140+0.16</f>
        <v>906.14420674469511</v>
      </c>
      <c r="O140" s="15" t="s">
        <v>30</v>
      </c>
      <c r="S140" s="13">
        <v>18.690000000000001</v>
      </c>
      <c r="U140" s="20">
        <v>1021.56</v>
      </c>
    </row>
    <row r="141" spans="1:21" ht="24" hidden="1" customHeight="1">
      <c r="A141" s="89">
        <v>1215</v>
      </c>
      <c r="B141" s="80" t="s">
        <v>26</v>
      </c>
      <c r="C141" s="150">
        <v>88489</v>
      </c>
      <c r="D141" s="151"/>
      <c r="E141" s="11" t="s">
        <v>180</v>
      </c>
      <c r="F141" s="12" t="s">
        <v>35</v>
      </c>
      <c r="G141" s="147">
        <v>188.97</v>
      </c>
      <c r="H141" s="148"/>
      <c r="I141" s="13">
        <f t="shared" si="67"/>
        <v>9.1538296800000012</v>
      </c>
      <c r="J141" s="10" t="s">
        <v>29</v>
      </c>
      <c r="K141" s="147">
        <f t="shared" si="69"/>
        <v>11.596071438624001</v>
      </c>
      <c r="L141" s="149"/>
      <c r="M141" s="148"/>
      <c r="N141" s="14">
        <f>G141*K141-0.64</f>
        <v>2190.6696197567776</v>
      </c>
      <c r="O141" s="15" t="s">
        <v>30</v>
      </c>
      <c r="S141" s="13">
        <v>10.32</v>
      </c>
      <c r="U141" s="20">
        <v>2469.84</v>
      </c>
    </row>
    <row r="142" spans="1:21" ht="21.75" hidden="1" customHeight="1">
      <c r="A142" s="89">
        <v>1216</v>
      </c>
      <c r="B142" s="80" t="s">
        <v>26</v>
      </c>
      <c r="C142" s="150">
        <v>88488</v>
      </c>
      <c r="D142" s="151"/>
      <c r="E142" s="11" t="s">
        <v>181</v>
      </c>
      <c r="F142" s="12" t="s">
        <v>35</v>
      </c>
      <c r="G142" s="147">
        <v>43.14</v>
      </c>
      <c r="H142" s="148"/>
      <c r="I142" s="13">
        <f t="shared" si="67"/>
        <v>10.386758290000001</v>
      </c>
      <c r="J142" s="10" t="s">
        <v>29</v>
      </c>
      <c r="K142" s="147">
        <f t="shared" si="69"/>
        <v>13.157945401772</v>
      </c>
      <c r="L142" s="149"/>
      <c r="M142" s="148"/>
      <c r="N142" s="14">
        <f>G142*K142-0.18</f>
        <v>567.45376463244418</v>
      </c>
      <c r="O142" s="15" t="s">
        <v>30</v>
      </c>
      <c r="S142" s="13">
        <v>11.71</v>
      </c>
      <c r="U142" s="14">
        <v>639.77</v>
      </c>
    </row>
    <row r="143" spans="1:21" ht="21.75" hidden="1" customHeight="1">
      <c r="A143" s="89">
        <v>1217</v>
      </c>
      <c r="B143" s="80" t="s">
        <v>26</v>
      </c>
      <c r="C143" s="160" t="s">
        <v>182</v>
      </c>
      <c r="D143" s="161"/>
      <c r="E143" s="11" t="s">
        <v>183</v>
      </c>
      <c r="F143" s="12" t="s">
        <v>35</v>
      </c>
      <c r="G143" s="147">
        <v>32.270000000000003</v>
      </c>
      <c r="H143" s="148"/>
      <c r="I143" s="13">
        <f t="shared" si="67"/>
        <v>19.336578200000002</v>
      </c>
      <c r="J143" s="10" t="s">
        <v>29</v>
      </c>
      <c r="K143" s="147">
        <f t="shared" si="69"/>
        <v>24.495577263760001</v>
      </c>
      <c r="L143" s="149"/>
      <c r="M143" s="148"/>
      <c r="N143" s="14">
        <f>G143*K143+0.12</f>
        <v>790.59227830153532</v>
      </c>
      <c r="O143" s="15" t="s">
        <v>30</v>
      </c>
      <c r="S143" s="13">
        <v>21.8</v>
      </c>
      <c r="U143" s="14">
        <v>891.3</v>
      </c>
    </row>
    <row r="144" spans="1:21" ht="20.25" hidden="1" customHeight="1">
      <c r="A144" s="89">
        <v>1218</v>
      </c>
      <c r="B144" s="80" t="s">
        <v>26</v>
      </c>
      <c r="C144" s="160" t="s">
        <v>184</v>
      </c>
      <c r="D144" s="161"/>
      <c r="E144" s="11" t="s">
        <v>185</v>
      </c>
      <c r="F144" s="12" t="s">
        <v>35</v>
      </c>
      <c r="G144" s="170">
        <v>4.84</v>
      </c>
      <c r="H144" s="171"/>
      <c r="I144" s="13">
        <f t="shared" si="67"/>
        <v>20.88882645</v>
      </c>
      <c r="J144" s="10" t="s">
        <v>29</v>
      </c>
      <c r="K144" s="147">
        <f t="shared" si="69"/>
        <v>26.461965346859998</v>
      </c>
      <c r="L144" s="149"/>
      <c r="M144" s="148"/>
      <c r="N144" s="14">
        <f>G144*K144-0.01</f>
        <v>128.06591227880239</v>
      </c>
      <c r="O144" s="15" t="s">
        <v>30</v>
      </c>
      <c r="S144" s="13">
        <v>23.55</v>
      </c>
      <c r="U144" s="14">
        <v>144.38</v>
      </c>
    </row>
    <row r="145" spans="1:21" ht="24.95" hidden="1" customHeight="1">
      <c r="A145" s="89">
        <v>1219</v>
      </c>
      <c r="B145" s="80" t="s">
        <v>36</v>
      </c>
      <c r="C145" s="160" t="s">
        <v>186</v>
      </c>
      <c r="D145" s="161"/>
      <c r="E145" s="11" t="s">
        <v>187</v>
      </c>
      <c r="F145" s="12" t="s">
        <v>35</v>
      </c>
      <c r="G145" s="147">
        <v>12.2</v>
      </c>
      <c r="H145" s="148"/>
      <c r="I145" s="13">
        <f t="shared" si="67"/>
        <v>12.400246020000001</v>
      </c>
      <c r="J145" s="10" t="s">
        <v>29</v>
      </c>
      <c r="K145" s="147">
        <f t="shared" si="69"/>
        <v>15.708631658135999</v>
      </c>
      <c r="L145" s="149"/>
      <c r="M145" s="148"/>
      <c r="N145" s="14">
        <f>G145*K145</f>
        <v>191.64530622925918</v>
      </c>
      <c r="O145" s="15" t="s">
        <v>30</v>
      </c>
      <c r="S145" s="13">
        <v>13.98</v>
      </c>
      <c r="U145" s="14">
        <v>216.06</v>
      </c>
    </row>
    <row r="146" spans="1:21" ht="18" hidden="1" customHeight="1">
      <c r="A146" s="162">
        <v>13</v>
      </c>
      <c r="B146" s="163"/>
      <c r="C146" s="164" t="s">
        <v>188</v>
      </c>
      <c r="D146" s="165"/>
      <c r="E146" s="165"/>
      <c r="F146" s="166"/>
      <c r="G146" s="167">
        <f>N148</f>
        <v>221.19269570657085</v>
      </c>
      <c r="H146" s="168"/>
      <c r="I146" s="168"/>
      <c r="J146" s="168"/>
      <c r="K146" s="168"/>
      <c r="L146" s="168"/>
      <c r="M146" s="168"/>
      <c r="N146" s="168"/>
      <c r="O146" s="169"/>
    </row>
    <row r="147" spans="1:21" ht="23.25" hidden="1" customHeight="1">
      <c r="A147" s="88">
        <v>131</v>
      </c>
      <c r="B147" s="76"/>
      <c r="C147" s="152"/>
      <c r="D147" s="153"/>
      <c r="E147" s="7" t="s">
        <v>189</v>
      </c>
      <c r="F147" s="6"/>
      <c r="G147" s="152"/>
      <c r="H147" s="153"/>
      <c r="I147" s="8"/>
      <c r="J147" s="8"/>
      <c r="K147" s="154"/>
      <c r="L147" s="155"/>
      <c r="M147" s="156"/>
      <c r="N147" s="9">
        <f>N148</f>
        <v>221.19269570657085</v>
      </c>
      <c r="O147" s="6"/>
      <c r="S147" s="8"/>
      <c r="U147" s="9">
        <v>249.35</v>
      </c>
    </row>
    <row r="148" spans="1:21" ht="23.25" hidden="1" customHeight="1">
      <c r="A148" s="89">
        <v>1311</v>
      </c>
      <c r="B148" s="82" t="s">
        <v>36</v>
      </c>
      <c r="C148" s="142" t="s">
        <v>190</v>
      </c>
      <c r="D148" s="143"/>
      <c r="E148" s="61" t="s">
        <v>191</v>
      </c>
      <c r="F148" s="62" t="s">
        <v>35</v>
      </c>
      <c r="G148" s="144">
        <v>43.14</v>
      </c>
      <c r="H148" s="145"/>
      <c r="I148" s="63">
        <f t="shared" ref="I148" si="70">S148-(S148*$Q$7)</f>
        <v>4.0447154399999992</v>
      </c>
      <c r="J148" s="60" t="s">
        <v>29</v>
      </c>
      <c r="K148" s="144">
        <f t="shared" ref="K148" si="71">I148*$R$7</f>
        <v>5.1238455193919989</v>
      </c>
      <c r="L148" s="146"/>
      <c r="M148" s="145"/>
      <c r="N148" s="64">
        <f>G148*K148+0.15</f>
        <v>221.19269570657085</v>
      </c>
      <c r="O148" s="65" t="s">
        <v>30</v>
      </c>
      <c r="S148" s="28">
        <v>4.5599999999999996</v>
      </c>
      <c r="U148" s="27">
        <v>249.35</v>
      </c>
    </row>
    <row r="149" spans="1:21" ht="6.75" hidden="1" customHeight="1">
      <c r="A149" s="66" t="s">
        <v>53</v>
      </c>
      <c r="B149" s="83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</row>
    <row r="150" spans="1:21" ht="9" hidden="1" customHeight="1">
      <c r="A150" s="157"/>
      <c r="B150" s="157"/>
      <c r="C150" s="157"/>
      <c r="D150" s="157"/>
      <c r="E150" s="157"/>
      <c r="F150" s="157"/>
      <c r="G150" s="157"/>
      <c r="H150" s="157"/>
      <c r="I150" s="157"/>
      <c r="J150" s="157"/>
      <c r="K150" s="157"/>
      <c r="L150" s="68"/>
      <c r="M150" s="68"/>
      <c r="N150" s="68"/>
      <c r="O150" s="67"/>
    </row>
    <row r="151" spans="1:21" ht="6.75" hidden="1" customHeight="1">
      <c r="A151" s="69"/>
      <c r="B151" s="84"/>
      <c r="C151" s="68"/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7"/>
    </row>
    <row r="152" spans="1:21" ht="6.75" hidden="1" customHeight="1">
      <c r="A152" s="69"/>
      <c r="B152" s="84"/>
      <c r="C152" s="68"/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7"/>
    </row>
    <row r="153" spans="1:21" ht="27" hidden="1">
      <c r="A153" s="70"/>
      <c r="B153" s="85"/>
      <c r="C153" s="207"/>
      <c r="D153" s="207"/>
      <c r="E153" s="70"/>
      <c r="F153" s="71"/>
      <c r="G153" s="207"/>
      <c r="H153" s="207"/>
      <c r="I153" s="71"/>
      <c r="J153" s="70"/>
      <c r="K153" s="207"/>
      <c r="L153" s="207"/>
      <c r="M153" s="207"/>
      <c r="N153" s="71"/>
      <c r="O153" s="208"/>
      <c r="S153" s="3" t="s">
        <v>18</v>
      </c>
      <c r="U153" s="3" t="s">
        <v>21</v>
      </c>
    </row>
    <row r="154" spans="1:21">
      <c r="A154" s="209" t="s">
        <v>207</v>
      </c>
      <c r="B154" s="210"/>
      <c r="C154" s="210"/>
      <c r="D154" s="210"/>
      <c r="E154" s="210"/>
      <c r="F154" s="72"/>
      <c r="G154" s="211"/>
      <c r="H154" s="211"/>
      <c r="I154" s="72"/>
      <c r="J154" s="72"/>
      <c r="K154" s="211"/>
      <c r="L154" s="211"/>
      <c r="M154" s="211"/>
      <c r="N154" s="133">
        <f>G155+G159+G173+G182+G191+G202+G211+G230+G264+G304+G309+G320+G326-(0.01)</f>
        <v>125718.66034833962</v>
      </c>
      <c r="O154" s="208"/>
      <c r="S154" s="31"/>
      <c r="U154" s="5">
        <v>98030.56</v>
      </c>
    </row>
    <row r="155" spans="1:21">
      <c r="A155" s="212">
        <v>1</v>
      </c>
      <c r="B155" s="213"/>
      <c r="C155" s="214" t="s">
        <v>192</v>
      </c>
      <c r="D155" s="215"/>
      <c r="E155" s="215"/>
      <c r="F155" s="216"/>
      <c r="G155" s="217">
        <f>N156</f>
        <v>1020.6814319999999</v>
      </c>
      <c r="H155" s="218"/>
      <c r="I155" s="218"/>
      <c r="J155" s="218"/>
      <c r="K155" s="218"/>
      <c r="L155" s="218"/>
      <c r="M155" s="218"/>
      <c r="N155" s="218"/>
      <c r="O155" s="219"/>
      <c r="Q155" s="52">
        <f>N156</f>
        <v>1020.6814319999999</v>
      </c>
    </row>
    <row r="156" spans="1:21">
      <c r="A156" s="88">
        <v>11</v>
      </c>
      <c r="B156" s="76"/>
      <c r="C156" s="152"/>
      <c r="D156" s="153"/>
      <c r="E156" s="7" t="s">
        <v>192</v>
      </c>
      <c r="F156" s="6"/>
      <c r="G156" s="152"/>
      <c r="H156" s="153"/>
      <c r="I156" s="8"/>
      <c r="J156" s="8"/>
      <c r="K156" s="154"/>
      <c r="L156" s="155"/>
      <c r="M156" s="156"/>
      <c r="N156" s="19">
        <f>SUM(N157:N158)+0.01</f>
        <v>1020.6814319999999</v>
      </c>
      <c r="O156" s="6"/>
      <c r="S156" s="8"/>
      <c r="U156" s="19">
        <v>2217.6799999999998</v>
      </c>
    </row>
    <row r="157" spans="1:21" ht="12.75" customHeight="1">
      <c r="A157" s="89">
        <v>111</v>
      </c>
      <c r="B157" s="80" t="s">
        <v>26</v>
      </c>
      <c r="C157" s="160" t="s">
        <v>193</v>
      </c>
      <c r="D157" s="161"/>
      <c r="E157" s="109" t="s">
        <v>231</v>
      </c>
      <c r="F157" s="12" t="s">
        <v>35</v>
      </c>
      <c r="G157" s="147">
        <v>2</v>
      </c>
      <c r="H157" s="148"/>
      <c r="I157" s="13">
        <v>312.13</v>
      </c>
      <c r="J157" s="10" t="s">
        <v>29</v>
      </c>
      <c r="K157" s="147">
        <f t="shared" ref="K157" si="72">I157*$R$7</f>
        <v>395.40628399999997</v>
      </c>
      <c r="L157" s="149"/>
      <c r="M157" s="148"/>
      <c r="N157" s="14">
        <f>G157*K157</f>
        <v>790.81256799999994</v>
      </c>
      <c r="O157" s="15" t="s">
        <v>30</v>
      </c>
      <c r="S157" s="13">
        <v>301.49</v>
      </c>
      <c r="U157" s="14">
        <v>763.86</v>
      </c>
    </row>
    <row r="158" spans="1:21" ht="18" customHeight="1">
      <c r="A158" s="89">
        <v>112</v>
      </c>
      <c r="B158" s="80" t="s">
        <v>26</v>
      </c>
      <c r="C158" s="160" t="s">
        <v>194</v>
      </c>
      <c r="D158" s="161"/>
      <c r="E158" s="59" t="s">
        <v>204</v>
      </c>
      <c r="F158" s="12" t="s">
        <v>35</v>
      </c>
      <c r="G158" s="147">
        <v>4</v>
      </c>
      <c r="H158" s="148"/>
      <c r="I158" s="13">
        <v>45.37</v>
      </c>
      <c r="J158" s="10" t="s">
        <v>29</v>
      </c>
      <c r="K158" s="147">
        <f t="shared" ref="K158" si="73">I158*$R$7</f>
        <v>57.474715999999994</v>
      </c>
      <c r="L158" s="149"/>
      <c r="M158" s="148"/>
      <c r="N158" s="14">
        <f>G158*K158-0.04</f>
        <v>229.85886399999998</v>
      </c>
      <c r="O158" s="15" t="s">
        <v>30</v>
      </c>
      <c r="S158" s="13">
        <v>45.47</v>
      </c>
      <c r="U158" s="20">
        <v>1453.82</v>
      </c>
    </row>
    <row r="159" spans="1:21">
      <c r="A159" s="162">
        <v>2</v>
      </c>
      <c r="B159" s="163"/>
      <c r="C159" s="164" t="s">
        <v>23</v>
      </c>
      <c r="D159" s="165"/>
      <c r="E159" s="165"/>
      <c r="F159" s="166"/>
      <c r="G159" s="220">
        <f>N160+N167-0.01</f>
        <v>4791.6081404996194</v>
      </c>
      <c r="H159" s="221"/>
      <c r="I159" s="221"/>
      <c r="J159" s="221"/>
      <c r="K159" s="221"/>
      <c r="L159" s="221"/>
      <c r="M159" s="221"/>
      <c r="N159" s="221"/>
      <c r="O159" s="222"/>
      <c r="Q159" s="53">
        <f>G159</f>
        <v>4791.6081404996194</v>
      </c>
    </row>
    <row r="160" spans="1:21">
      <c r="A160" s="88">
        <v>21</v>
      </c>
      <c r="B160" s="76"/>
      <c r="C160" s="152"/>
      <c r="D160" s="153"/>
      <c r="E160" s="7" t="s">
        <v>25</v>
      </c>
      <c r="F160" s="6"/>
      <c r="G160" s="152"/>
      <c r="H160" s="153"/>
      <c r="I160" s="8"/>
      <c r="J160" s="8"/>
      <c r="K160" s="154"/>
      <c r="L160" s="155"/>
      <c r="M160" s="156"/>
      <c r="N160" s="9">
        <f>SUM(N161:N166)</f>
        <v>2168.5741136000001</v>
      </c>
      <c r="O160" s="6"/>
      <c r="S160" s="8"/>
      <c r="U160" s="9">
        <v>812.33</v>
      </c>
    </row>
    <row r="161" spans="1:21" ht="18">
      <c r="A161" s="89">
        <v>211</v>
      </c>
      <c r="B161" s="86" t="s">
        <v>206</v>
      </c>
      <c r="C161" s="150" t="s">
        <v>233</v>
      </c>
      <c r="D161" s="151"/>
      <c r="E161" s="59" t="s">
        <v>205</v>
      </c>
      <c r="F161" s="12" t="s">
        <v>35</v>
      </c>
      <c r="G161" s="147">
        <v>152.30000000000001</v>
      </c>
      <c r="H161" s="148"/>
      <c r="I161" s="13">
        <v>11.24</v>
      </c>
      <c r="J161" s="10" t="s">
        <v>29</v>
      </c>
      <c r="K161" s="147">
        <f t="shared" ref="K161" si="74">I161*$R$7</f>
        <v>14.238831999999999</v>
      </c>
      <c r="L161" s="149"/>
      <c r="M161" s="148"/>
      <c r="N161" s="14">
        <f>G161*K161</f>
        <v>2168.5741136000001</v>
      </c>
      <c r="O161" s="15" t="s">
        <v>30</v>
      </c>
      <c r="S161" s="13">
        <v>17.25</v>
      </c>
      <c r="U161" s="14">
        <v>50.26</v>
      </c>
    </row>
    <row r="162" spans="1:21" hidden="1">
      <c r="A162" s="89"/>
      <c r="B162" s="80"/>
      <c r="C162" s="160"/>
      <c r="D162" s="161"/>
      <c r="E162" s="11"/>
      <c r="F162" s="12"/>
      <c r="G162" s="170"/>
      <c r="H162" s="171"/>
      <c r="I162" s="13"/>
      <c r="J162" s="10"/>
      <c r="K162" s="147"/>
      <c r="L162" s="149"/>
      <c r="M162" s="148"/>
      <c r="N162" s="14"/>
      <c r="O162" s="15"/>
      <c r="S162" s="13"/>
      <c r="U162" s="14"/>
    </row>
    <row r="163" spans="1:21" hidden="1">
      <c r="A163" s="89"/>
      <c r="B163" s="80"/>
      <c r="C163" s="160"/>
      <c r="D163" s="161"/>
      <c r="E163" s="11"/>
      <c r="F163" s="12"/>
      <c r="G163" s="170"/>
      <c r="H163" s="171"/>
      <c r="I163" s="13"/>
      <c r="J163" s="10"/>
      <c r="K163" s="147"/>
      <c r="L163" s="149"/>
      <c r="M163" s="148"/>
      <c r="N163" s="14"/>
      <c r="O163" s="15"/>
      <c r="S163" s="13"/>
      <c r="U163" s="14"/>
    </row>
    <row r="164" spans="1:21" hidden="1">
      <c r="A164" s="89"/>
      <c r="B164" s="80"/>
      <c r="C164" s="160"/>
      <c r="D164" s="161"/>
      <c r="E164" s="11"/>
      <c r="F164" s="12"/>
      <c r="G164" s="147"/>
      <c r="H164" s="148"/>
      <c r="I164" s="13"/>
      <c r="J164" s="10"/>
      <c r="K164" s="147"/>
      <c r="L164" s="149"/>
      <c r="M164" s="148"/>
      <c r="N164" s="14"/>
      <c r="O164" s="15"/>
      <c r="S164" s="13"/>
      <c r="U164" s="14"/>
    </row>
    <row r="165" spans="1:21" hidden="1">
      <c r="A165" s="89"/>
      <c r="B165" s="80"/>
      <c r="C165" s="150"/>
      <c r="D165" s="151"/>
      <c r="E165" s="11"/>
      <c r="F165" s="12"/>
      <c r="G165" s="147"/>
      <c r="H165" s="148"/>
      <c r="I165" s="13"/>
      <c r="J165" s="10"/>
      <c r="K165" s="147"/>
      <c r="L165" s="149"/>
      <c r="M165" s="148"/>
      <c r="N165" s="14"/>
      <c r="O165" s="15"/>
      <c r="S165" s="13"/>
      <c r="U165" s="14"/>
    </row>
    <row r="166" spans="1:21" hidden="1">
      <c r="A166" s="89"/>
      <c r="B166" s="80"/>
      <c r="C166" s="150"/>
      <c r="D166" s="151"/>
      <c r="E166" s="11"/>
      <c r="F166" s="12"/>
      <c r="G166" s="147"/>
      <c r="H166" s="148"/>
      <c r="I166" s="13"/>
      <c r="J166" s="10"/>
      <c r="K166" s="147"/>
      <c r="L166" s="149"/>
      <c r="M166" s="148"/>
      <c r="N166" s="14"/>
      <c r="O166" s="15"/>
      <c r="S166" s="18"/>
      <c r="U166" s="14"/>
    </row>
    <row r="167" spans="1:21" hidden="1">
      <c r="A167" s="88">
        <v>22</v>
      </c>
      <c r="B167" s="76"/>
      <c r="C167" s="152"/>
      <c r="D167" s="153"/>
      <c r="E167" s="16" t="s">
        <v>31</v>
      </c>
      <c r="F167" s="6"/>
      <c r="G167" s="152"/>
      <c r="H167" s="153"/>
      <c r="I167" s="6"/>
      <c r="J167" s="6"/>
      <c r="K167" s="173"/>
      <c r="L167" s="174"/>
      <c r="M167" s="175"/>
      <c r="N167" s="9">
        <f>SUM(N168:N172)+0.01</f>
        <v>2623.0440268996194</v>
      </c>
      <c r="O167" s="6"/>
      <c r="S167" s="6"/>
      <c r="U167" s="22">
        <v>2957.13</v>
      </c>
    </row>
    <row r="168" spans="1:21" ht="18" hidden="1">
      <c r="A168" s="89">
        <v>221</v>
      </c>
      <c r="B168" s="80" t="s">
        <v>26</v>
      </c>
      <c r="C168" s="150">
        <v>97622</v>
      </c>
      <c r="D168" s="151"/>
      <c r="E168" s="11" t="s">
        <v>32</v>
      </c>
      <c r="F168" s="12" t="s">
        <v>33</v>
      </c>
      <c r="G168" s="170">
        <v>1.98</v>
      </c>
      <c r="H168" s="171"/>
      <c r="I168" s="13">
        <f t="shared" ref="I168:I172" si="75">S168-(S168*$Q$7)</f>
        <v>31.284454730000004</v>
      </c>
      <c r="J168" s="10" t="s">
        <v>29</v>
      </c>
      <c r="K168" s="147">
        <f t="shared" ref="K168" si="76">I168*$R$7</f>
        <v>39.631147251964002</v>
      </c>
      <c r="L168" s="149"/>
      <c r="M168" s="148"/>
      <c r="N168" s="14">
        <f>G168*K168</f>
        <v>78.46967155888872</v>
      </c>
      <c r="O168" s="15" t="s">
        <v>30</v>
      </c>
      <c r="S168" s="13">
        <v>35.270000000000003</v>
      </c>
      <c r="U168" s="14">
        <v>88.47</v>
      </c>
    </row>
    <row r="169" spans="1:21" ht="18" hidden="1">
      <c r="A169" s="89">
        <v>222</v>
      </c>
      <c r="B169" s="80" t="s">
        <v>26</v>
      </c>
      <c r="C169" s="150">
        <v>97629</v>
      </c>
      <c r="D169" s="151"/>
      <c r="E169" s="11" t="s">
        <v>195</v>
      </c>
      <c r="F169" s="12" t="s">
        <v>33</v>
      </c>
      <c r="G169" s="170">
        <v>0.84</v>
      </c>
      <c r="H169" s="171"/>
      <c r="I169" s="13">
        <f t="shared" si="75"/>
        <v>10.528678129999999</v>
      </c>
      <c r="J169" s="10" t="s">
        <v>29</v>
      </c>
      <c r="K169" s="147">
        <f t="shared" ref="K169:K172" si="77">I169*$R$7</f>
        <v>13.337729455083998</v>
      </c>
      <c r="L169" s="149"/>
      <c r="M169" s="148"/>
      <c r="N169" s="14">
        <f t="shared" ref="N169" si="78">G169*K169</f>
        <v>11.203692742270558</v>
      </c>
      <c r="O169" s="15" t="s">
        <v>30</v>
      </c>
      <c r="S169" s="13">
        <v>11.87</v>
      </c>
      <c r="U169" s="14">
        <v>12.63</v>
      </c>
    </row>
    <row r="170" spans="1:21" ht="18" hidden="1">
      <c r="A170" s="89">
        <v>223</v>
      </c>
      <c r="B170" s="80" t="s">
        <v>36</v>
      </c>
      <c r="C170" s="160" t="s">
        <v>196</v>
      </c>
      <c r="D170" s="161"/>
      <c r="E170" s="11" t="s">
        <v>197</v>
      </c>
      <c r="F170" s="12" t="s">
        <v>35</v>
      </c>
      <c r="G170" s="147">
        <v>59.72</v>
      </c>
      <c r="H170" s="148"/>
      <c r="I170" s="13">
        <f t="shared" si="75"/>
        <v>9.4997592900000001</v>
      </c>
      <c r="J170" s="10" t="s">
        <v>29</v>
      </c>
      <c r="K170" s="147">
        <f t="shared" si="77"/>
        <v>12.034295068572</v>
      </c>
      <c r="L170" s="149"/>
      <c r="M170" s="148"/>
      <c r="N170" s="14">
        <f>G170*K170+0.15</f>
        <v>718.83810149511976</v>
      </c>
      <c r="O170" s="15" t="s">
        <v>30</v>
      </c>
      <c r="S170" s="13">
        <v>10.71</v>
      </c>
      <c r="U170" s="14">
        <v>810.4</v>
      </c>
    </row>
    <row r="171" spans="1:21" ht="18" hidden="1">
      <c r="A171" s="89">
        <v>224</v>
      </c>
      <c r="B171" s="80" t="s">
        <v>36</v>
      </c>
      <c r="C171" s="160" t="s">
        <v>198</v>
      </c>
      <c r="D171" s="161"/>
      <c r="E171" s="11" t="s">
        <v>199</v>
      </c>
      <c r="F171" s="12" t="s">
        <v>35</v>
      </c>
      <c r="G171" s="147">
        <v>61.43</v>
      </c>
      <c r="H171" s="148"/>
      <c r="I171" s="13">
        <f t="shared" si="75"/>
        <v>10.69720794</v>
      </c>
      <c r="J171" s="10" t="s">
        <v>29</v>
      </c>
      <c r="K171" s="147">
        <f t="shared" si="77"/>
        <v>13.551223018391999</v>
      </c>
      <c r="L171" s="149"/>
      <c r="M171" s="148"/>
      <c r="N171" s="14">
        <f>G171*K171+0.15</f>
        <v>832.6016300198205</v>
      </c>
      <c r="O171" s="15" t="s">
        <v>30</v>
      </c>
      <c r="S171" s="13">
        <v>12.06</v>
      </c>
      <c r="U171" s="14">
        <v>938.65</v>
      </c>
    </row>
    <row r="172" spans="1:21" ht="18" hidden="1">
      <c r="A172" s="89">
        <v>225</v>
      </c>
      <c r="B172" s="80" t="s">
        <v>111</v>
      </c>
      <c r="C172" s="150">
        <v>72125</v>
      </c>
      <c r="D172" s="151"/>
      <c r="E172" s="11" t="s">
        <v>200</v>
      </c>
      <c r="F172" s="12" t="s">
        <v>35</v>
      </c>
      <c r="G172" s="147">
        <v>124.8</v>
      </c>
      <c r="H172" s="148"/>
      <c r="I172" s="13">
        <f t="shared" si="75"/>
        <v>6.2089929999999995</v>
      </c>
      <c r="J172" s="10" t="s">
        <v>29</v>
      </c>
      <c r="K172" s="147">
        <f t="shared" si="77"/>
        <v>7.8655523323999992</v>
      </c>
      <c r="L172" s="149"/>
      <c r="M172" s="148"/>
      <c r="N172" s="14">
        <f>G172*K172+0.3</f>
        <v>981.9209310835198</v>
      </c>
      <c r="O172" s="15" t="s">
        <v>30</v>
      </c>
      <c r="S172" s="18">
        <v>7</v>
      </c>
      <c r="U172" s="20">
        <v>1106.98</v>
      </c>
    </row>
    <row r="173" spans="1:21">
      <c r="A173" s="162">
        <v>3</v>
      </c>
      <c r="B173" s="163"/>
      <c r="C173" s="223" t="s">
        <v>210</v>
      </c>
      <c r="D173" s="165"/>
      <c r="E173" s="165"/>
      <c r="F173" s="166"/>
      <c r="G173" s="220">
        <f>N174</f>
        <v>68674.241497199997</v>
      </c>
      <c r="H173" s="221"/>
      <c r="I173" s="221"/>
      <c r="J173" s="221"/>
      <c r="K173" s="221"/>
      <c r="L173" s="221"/>
      <c r="M173" s="221"/>
      <c r="N173" s="221"/>
      <c r="O173" s="222"/>
      <c r="Q173" s="53">
        <f>G173</f>
        <v>68674.241497199997</v>
      </c>
    </row>
    <row r="174" spans="1:21">
      <c r="A174" s="88">
        <v>31</v>
      </c>
      <c r="B174" s="76"/>
      <c r="C174" s="152"/>
      <c r="D174" s="153"/>
      <c r="E174" s="73" t="s">
        <v>211</v>
      </c>
      <c r="F174" s="6"/>
      <c r="G174" s="152"/>
      <c r="H174" s="153"/>
      <c r="I174" s="8"/>
      <c r="J174" s="8"/>
      <c r="K174" s="154"/>
      <c r="L174" s="155"/>
      <c r="M174" s="156"/>
      <c r="N174" s="9">
        <f>SUM(N175:N180)</f>
        <v>68674.241497199997</v>
      </c>
      <c r="O174" s="6"/>
      <c r="S174" s="8"/>
      <c r="U174" s="19">
        <v>3323.15</v>
      </c>
    </row>
    <row r="175" spans="1:21" ht="28.5" customHeight="1">
      <c r="A175" s="89">
        <v>311</v>
      </c>
      <c r="B175" s="86" t="s">
        <v>224</v>
      </c>
      <c r="C175" s="160">
        <v>102330</v>
      </c>
      <c r="D175" s="161"/>
      <c r="E175" s="11" t="s">
        <v>256</v>
      </c>
      <c r="F175" s="12" t="s">
        <v>259</v>
      </c>
      <c r="G175" s="147">
        <v>1192.05</v>
      </c>
      <c r="H175" s="148"/>
      <c r="I175" s="13">
        <v>1.26</v>
      </c>
      <c r="J175" s="10" t="s">
        <v>29</v>
      </c>
      <c r="K175" s="147">
        <f t="shared" ref="K175" si="79">I175*$R$7</f>
        <v>1.5961679999999998</v>
      </c>
      <c r="L175" s="149"/>
      <c r="M175" s="148"/>
      <c r="N175" s="14">
        <f>G175*K175+0.03</f>
        <v>1902.7420643999997</v>
      </c>
      <c r="O175" s="15" t="s">
        <v>30</v>
      </c>
      <c r="S175" s="13">
        <v>30.02</v>
      </c>
      <c r="U175" s="20">
        <v>2058.1799999999998</v>
      </c>
    </row>
    <row r="176" spans="1:21" ht="24" hidden="1" customHeight="1">
      <c r="A176" s="89">
        <v>312</v>
      </c>
      <c r="B176" s="80"/>
      <c r="C176" s="150"/>
      <c r="D176" s="151"/>
      <c r="E176" s="11"/>
      <c r="F176" s="12"/>
      <c r="G176" s="170"/>
      <c r="H176" s="171"/>
      <c r="I176" s="13"/>
      <c r="J176" s="10"/>
      <c r="K176" s="147"/>
      <c r="L176" s="149"/>
      <c r="M176" s="148"/>
      <c r="N176" s="14"/>
      <c r="O176" s="15" t="s">
        <v>30</v>
      </c>
      <c r="S176" s="13">
        <v>24.58</v>
      </c>
      <c r="U176" s="14">
        <v>309.52999999999997</v>
      </c>
    </row>
    <row r="177" spans="1:21" ht="22.5" hidden="1" customHeight="1">
      <c r="A177" s="89">
        <v>313</v>
      </c>
      <c r="B177" s="80"/>
      <c r="C177" s="150"/>
      <c r="D177" s="151"/>
      <c r="E177" s="11"/>
      <c r="F177" s="12"/>
      <c r="G177" s="170"/>
      <c r="H177" s="171"/>
      <c r="I177" s="13"/>
      <c r="J177" s="10"/>
      <c r="K177" s="147"/>
      <c r="L177" s="149"/>
      <c r="M177" s="148"/>
      <c r="N177" s="14"/>
      <c r="O177" s="15" t="s">
        <v>30</v>
      </c>
      <c r="S177" s="13">
        <v>24.13</v>
      </c>
      <c r="U177" s="14">
        <v>303.87</v>
      </c>
    </row>
    <row r="178" spans="1:21" ht="18" hidden="1">
      <c r="A178" s="89">
        <v>314</v>
      </c>
      <c r="B178" s="80"/>
      <c r="C178" s="150"/>
      <c r="D178" s="151"/>
      <c r="E178" s="11"/>
      <c r="F178" s="12"/>
      <c r="G178" s="147"/>
      <c r="H178" s="148"/>
      <c r="I178" s="13"/>
      <c r="J178" s="10"/>
      <c r="K178" s="147"/>
      <c r="L178" s="149"/>
      <c r="M178" s="148"/>
      <c r="N178" s="14"/>
      <c r="O178" s="15" t="s">
        <v>30</v>
      </c>
      <c r="S178" s="13">
        <v>18.77</v>
      </c>
      <c r="U178" s="14">
        <v>651.57000000000005</v>
      </c>
    </row>
    <row r="179" spans="1:21" ht="18">
      <c r="A179" s="89">
        <v>312</v>
      </c>
      <c r="B179" s="86" t="s">
        <v>224</v>
      </c>
      <c r="C179" s="160">
        <v>96402</v>
      </c>
      <c r="D179" s="161"/>
      <c r="E179" s="11" t="s">
        <v>257</v>
      </c>
      <c r="F179" s="12" t="s">
        <v>35</v>
      </c>
      <c r="G179" s="147">
        <v>10950</v>
      </c>
      <c r="H179" s="148"/>
      <c r="I179" s="13">
        <v>1.89</v>
      </c>
      <c r="J179" s="10" t="s">
        <v>29</v>
      </c>
      <c r="K179" s="147">
        <f t="shared" ref="K179:K180" si="80">I179*$R$7</f>
        <v>2.3942519999999998</v>
      </c>
      <c r="L179" s="149"/>
      <c r="M179" s="148"/>
      <c r="N179" s="14">
        <f>G179*K179+0.03</f>
        <v>26217.089399999997</v>
      </c>
      <c r="O179" s="15"/>
      <c r="S179" s="47"/>
      <c r="U179" s="49"/>
    </row>
    <row r="180" spans="1:21" ht="27">
      <c r="A180" s="89">
        <v>313</v>
      </c>
      <c r="B180" s="86" t="s">
        <v>224</v>
      </c>
      <c r="C180" s="160">
        <v>95995</v>
      </c>
      <c r="D180" s="161"/>
      <c r="E180" s="11" t="s">
        <v>258</v>
      </c>
      <c r="F180" s="12" t="s">
        <v>260</v>
      </c>
      <c r="G180" s="147">
        <v>29.8</v>
      </c>
      <c r="H180" s="148"/>
      <c r="I180" s="13">
        <v>1074.27</v>
      </c>
      <c r="J180" s="10" t="s">
        <v>29</v>
      </c>
      <c r="K180" s="147">
        <f t="shared" si="80"/>
        <v>1360.8852359999998</v>
      </c>
      <c r="L180" s="149"/>
      <c r="M180" s="148"/>
      <c r="N180" s="14">
        <f>G180*K180+0.03</f>
        <v>40554.410032799999</v>
      </c>
      <c r="O180" s="15"/>
      <c r="S180" s="47"/>
      <c r="U180" s="49"/>
    </row>
    <row r="181" spans="1:21" ht="0.75" customHeight="1">
      <c r="A181" s="89">
        <v>314</v>
      </c>
      <c r="B181" s="86"/>
      <c r="C181" s="160"/>
      <c r="D181" s="161"/>
      <c r="E181" s="59"/>
      <c r="F181" s="12" t="s">
        <v>35</v>
      </c>
      <c r="G181" s="147"/>
      <c r="H181" s="148"/>
      <c r="I181" s="13"/>
      <c r="J181" s="10" t="s">
        <v>29</v>
      </c>
      <c r="K181" s="147">
        <f t="shared" ref="K181" si="81">I181*$R$7</f>
        <v>0</v>
      </c>
      <c r="L181" s="149"/>
      <c r="M181" s="148"/>
      <c r="N181" s="14"/>
      <c r="O181" s="15" t="s">
        <v>30</v>
      </c>
      <c r="S181" s="47"/>
      <c r="U181" s="49"/>
    </row>
    <row r="182" spans="1:21">
      <c r="A182" s="162">
        <v>4</v>
      </c>
      <c r="B182" s="163"/>
      <c r="C182" s="223" t="s">
        <v>212</v>
      </c>
      <c r="D182" s="165"/>
      <c r="E182" s="165"/>
      <c r="F182" s="166"/>
      <c r="G182" s="220">
        <f>N183</f>
        <v>1009.3382359999998</v>
      </c>
      <c r="H182" s="221"/>
      <c r="I182" s="221"/>
      <c r="J182" s="221"/>
      <c r="K182" s="221"/>
      <c r="L182" s="221"/>
      <c r="M182" s="221"/>
      <c r="N182" s="221"/>
      <c r="O182" s="222"/>
      <c r="Q182" s="53">
        <f>G182</f>
        <v>1009.3382359999998</v>
      </c>
    </row>
    <row r="183" spans="1:21">
      <c r="A183" s="88">
        <v>41</v>
      </c>
      <c r="B183" s="76"/>
      <c r="C183" s="152"/>
      <c r="D183" s="153"/>
      <c r="E183" s="73" t="s">
        <v>213</v>
      </c>
      <c r="F183" s="6"/>
      <c r="G183" s="152"/>
      <c r="H183" s="153"/>
      <c r="I183" s="8"/>
      <c r="J183" s="8"/>
      <c r="K183" s="154"/>
      <c r="L183" s="155"/>
      <c r="M183" s="156"/>
      <c r="N183" s="19">
        <f>N184+N185+N186+N187+N188+N189+N190+0.01</f>
        <v>1009.3382359999998</v>
      </c>
      <c r="O183" s="6"/>
      <c r="S183" s="8"/>
      <c r="U183" s="19">
        <v>20785.900000000001</v>
      </c>
    </row>
    <row r="184" spans="1:21" ht="13.5" customHeight="1">
      <c r="A184" s="89">
        <v>411</v>
      </c>
      <c r="B184" s="80" t="s">
        <v>36</v>
      </c>
      <c r="C184" s="224" t="s">
        <v>214</v>
      </c>
      <c r="D184" s="161"/>
      <c r="E184" s="59" t="s">
        <v>215</v>
      </c>
      <c r="F184" s="12" t="s">
        <v>35</v>
      </c>
      <c r="G184" s="147">
        <v>117</v>
      </c>
      <c r="H184" s="148"/>
      <c r="I184" s="13">
        <v>6.81</v>
      </c>
      <c r="J184" s="10" t="s">
        <v>29</v>
      </c>
      <c r="K184" s="147">
        <f t="shared" ref="K184" si="82">I184*$R$7</f>
        <v>8.6269079999999985</v>
      </c>
      <c r="L184" s="149"/>
      <c r="M184" s="148"/>
      <c r="N184" s="14">
        <f>G184*K184-0.02</f>
        <v>1009.3282359999998</v>
      </c>
      <c r="O184" s="15" t="s">
        <v>30</v>
      </c>
      <c r="S184" s="13">
        <v>76.05</v>
      </c>
      <c r="U184" s="20">
        <v>12812.26</v>
      </c>
    </row>
    <row r="185" spans="1:21" hidden="1">
      <c r="A185" s="89"/>
      <c r="B185" s="80"/>
      <c r="C185" s="150"/>
      <c r="D185" s="151"/>
      <c r="E185" s="59"/>
      <c r="F185" s="12"/>
      <c r="G185" s="147"/>
      <c r="H185" s="148"/>
      <c r="I185" s="13"/>
      <c r="J185" s="10"/>
      <c r="K185" s="147"/>
      <c r="L185" s="149"/>
      <c r="M185" s="148"/>
      <c r="N185" s="14"/>
      <c r="O185" s="15"/>
      <c r="S185" s="13"/>
      <c r="U185" s="20"/>
    </row>
    <row r="186" spans="1:21" hidden="1">
      <c r="A186" s="89"/>
      <c r="B186" s="80"/>
      <c r="C186" s="150"/>
      <c r="D186" s="151"/>
      <c r="E186" s="11"/>
      <c r="F186" s="12"/>
      <c r="G186" s="147"/>
      <c r="H186" s="148"/>
      <c r="I186" s="13"/>
      <c r="J186" s="10"/>
      <c r="K186" s="147"/>
      <c r="L186" s="149"/>
      <c r="M186" s="148"/>
      <c r="N186" s="14"/>
      <c r="O186" s="15"/>
      <c r="S186" s="18"/>
      <c r="U186" s="14"/>
    </row>
    <row r="187" spans="1:21" hidden="1">
      <c r="A187" s="89"/>
      <c r="B187" s="80"/>
      <c r="C187" s="150"/>
      <c r="D187" s="151"/>
      <c r="E187" s="11"/>
      <c r="F187" s="12"/>
      <c r="G187" s="147"/>
      <c r="H187" s="148"/>
      <c r="I187" s="13"/>
      <c r="J187" s="10"/>
      <c r="K187" s="147"/>
      <c r="L187" s="149"/>
      <c r="M187" s="148"/>
      <c r="N187" s="14"/>
      <c r="O187" s="15"/>
      <c r="S187" s="13"/>
      <c r="U187" s="14"/>
    </row>
    <row r="188" spans="1:21" hidden="1">
      <c r="A188" s="89"/>
      <c r="B188" s="80"/>
      <c r="C188" s="160"/>
      <c r="D188" s="161"/>
      <c r="E188" s="11"/>
      <c r="F188" s="12"/>
      <c r="G188" s="147"/>
      <c r="H188" s="148"/>
      <c r="I188" s="13"/>
      <c r="J188" s="10"/>
      <c r="K188" s="147"/>
      <c r="L188" s="149"/>
      <c r="M188" s="148"/>
      <c r="N188" s="14"/>
      <c r="O188" s="15"/>
      <c r="S188" s="13"/>
      <c r="U188" s="20"/>
    </row>
    <row r="189" spans="1:21" ht="36" hidden="1" customHeight="1">
      <c r="A189" s="89"/>
      <c r="B189" s="80"/>
      <c r="C189" s="160"/>
      <c r="D189" s="161"/>
      <c r="E189" s="11"/>
      <c r="F189" s="11"/>
      <c r="G189" s="170"/>
      <c r="H189" s="171"/>
      <c r="I189" s="13"/>
      <c r="J189" s="10"/>
      <c r="K189" s="147"/>
      <c r="L189" s="149"/>
      <c r="M189" s="148"/>
      <c r="N189" s="14"/>
      <c r="O189" s="15"/>
      <c r="S189" s="13"/>
      <c r="U189" s="14"/>
    </row>
    <row r="190" spans="1:21" ht="27" hidden="1" customHeight="1">
      <c r="A190" s="89"/>
      <c r="B190" s="80"/>
      <c r="C190" s="160"/>
      <c r="D190" s="161"/>
      <c r="E190" s="11"/>
      <c r="F190" s="12"/>
      <c r="G190" s="170"/>
      <c r="H190" s="171"/>
      <c r="I190" s="13"/>
      <c r="J190" s="10"/>
      <c r="K190" s="147"/>
      <c r="L190" s="149"/>
      <c r="M190" s="148"/>
      <c r="N190" s="14"/>
      <c r="O190" s="15"/>
      <c r="S190" s="18"/>
      <c r="U190" s="14"/>
    </row>
    <row r="191" spans="1:21">
      <c r="A191" s="162">
        <v>5</v>
      </c>
      <c r="B191" s="163"/>
      <c r="C191" s="223" t="s">
        <v>216</v>
      </c>
      <c r="D191" s="165"/>
      <c r="E191" s="165"/>
      <c r="F191" s="166"/>
      <c r="G191" s="220">
        <f>N192</f>
        <v>49686.801648639994</v>
      </c>
      <c r="H191" s="221"/>
      <c r="I191" s="221"/>
      <c r="J191" s="221"/>
      <c r="K191" s="221"/>
      <c r="L191" s="221"/>
      <c r="M191" s="221"/>
      <c r="N191" s="221"/>
      <c r="O191" s="222"/>
      <c r="Q191" s="53">
        <f>G191</f>
        <v>49686.801648639994</v>
      </c>
    </row>
    <row r="192" spans="1:21">
      <c r="A192" s="88">
        <v>51</v>
      </c>
      <c r="B192" s="76"/>
      <c r="C192" s="152"/>
      <c r="D192" s="153"/>
      <c r="E192" s="73" t="s">
        <v>216</v>
      </c>
      <c r="F192" s="6"/>
      <c r="G192" s="152"/>
      <c r="H192" s="153"/>
      <c r="I192" s="8"/>
      <c r="J192" s="8"/>
      <c r="K192" s="154"/>
      <c r="L192" s="155"/>
      <c r="M192" s="156"/>
      <c r="N192" s="9">
        <f>SUM(N193:N208)</f>
        <v>49686.801648639994</v>
      </c>
      <c r="O192" s="6"/>
      <c r="S192" s="8"/>
      <c r="U192" s="19">
        <v>8372.73</v>
      </c>
    </row>
    <row r="193" spans="1:21" ht="47.25" customHeight="1">
      <c r="A193" s="89">
        <v>511</v>
      </c>
      <c r="B193" s="80" t="s">
        <v>26</v>
      </c>
      <c r="C193" s="150">
        <v>90082</v>
      </c>
      <c r="D193" s="151"/>
      <c r="E193" s="59" t="s">
        <v>217</v>
      </c>
      <c r="F193" s="74" t="s">
        <v>219</v>
      </c>
      <c r="G193" s="147">
        <v>136.08000000000001</v>
      </c>
      <c r="H193" s="148"/>
      <c r="I193" s="13">
        <v>7.15</v>
      </c>
      <c r="J193" s="10" t="s">
        <v>29</v>
      </c>
      <c r="K193" s="147">
        <f t="shared" ref="K193" si="83">I193*$R$7</f>
        <v>9.05762</v>
      </c>
      <c r="L193" s="149"/>
      <c r="M193" s="148"/>
      <c r="N193" s="14">
        <f>G193*K193+0.43</f>
        <v>1232.9909296000001</v>
      </c>
      <c r="O193" s="15" t="s">
        <v>30</v>
      </c>
      <c r="S193" s="18">
        <v>2.91</v>
      </c>
      <c r="U193" s="14">
        <v>436.31</v>
      </c>
    </row>
    <row r="194" spans="1:21" ht="17.25" customHeight="1">
      <c r="A194" s="89">
        <v>512</v>
      </c>
      <c r="B194" s="80" t="s">
        <v>26</v>
      </c>
      <c r="C194" s="150">
        <v>94097</v>
      </c>
      <c r="D194" s="151"/>
      <c r="E194" s="59" t="s">
        <v>218</v>
      </c>
      <c r="F194" s="12" t="s">
        <v>35</v>
      </c>
      <c r="G194" s="147">
        <v>90.72</v>
      </c>
      <c r="H194" s="148"/>
      <c r="I194" s="13">
        <v>4.09</v>
      </c>
      <c r="J194" s="10" t="s">
        <v>29</v>
      </c>
      <c r="K194" s="147">
        <f t="shared" ref="K194:K195" si="84">I194*$R$7</f>
        <v>5.1812119999999995</v>
      </c>
      <c r="L194" s="149"/>
      <c r="M194" s="148"/>
      <c r="N194" s="14">
        <f>G194*K194+0.05</f>
        <v>470.08955263999997</v>
      </c>
      <c r="O194" s="15" t="s">
        <v>30</v>
      </c>
      <c r="S194" s="13">
        <v>26.16</v>
      </c>
      <c r="U194" s="20">
        <v>3380.94</v>
      </c>
    </row>
    <row r="195" spans="1:21" ht="27">
      <c r="A195" s="89">
        <v>513</v>
      </c>
      <c r="B195" s="86" t="s">
        <v>220</v>
      </c>
      <c r="C195" s="150">
        <v>1</v>
      </c>
      <c r="D195" s="151"/>
      <c r="E195" s="59" t="s">
        <v>221</v>
      </c>
      <c r="F195" s="74" t="s">
        <v>222</v>
      </c>
      <c r="G195" s="147">
        <v>85</v>
      </c>
      <c r="H195" s="148"/>
      <c r="I195" s="13">
        <v>83.58</v>
      </c>
      <c r="J195" s="10" t="s">
        <v>29</v>
      </c>
      <c r="K195" s="147">
        <f t="shared" si="84"/>
        <v>105.879144</v>
      </c>
      <c r="L195" s="149"/>
      <c r="M195" s="148"/>
      <c r="N195" s="14">
        <f>G195*K195+0.03</f>
        <v>8999.7572400000008</v>
      </c>
      <c r="O195" s="23" t="s">
        <v>30</v>
      </c>
      <c r="S195" s="13">
        <v>22.67</v>
      </c>
      <c r="U195" s="14">
        <v>465.84</v>
      </c>
    </row>
    <row r="196" spans="1:21" ht="30" customHeight="1">
      <c r="A196" s="89">
        <v>514</v>
      </c>
      <c r="B196" s="86" t="s">
        <v>220</v>
      </c>
      <c r="C196" s="150">
        <v>2</v>
      </c>
      <c r="D196" s="151"/>
      <c r="E196" s="59" t="s">
        <v>223</v>
      </c>
      <c r="F196" s="12" t="s">
        <v>35</v>
      </c>
      <c r="G196" s="147">
        <v>66.2</v>
      </c>
      <c r="H196" s="148"/>
      <c r="I196" s="13">
        <v>136.08000000000001</v>
      </c>
      <c r="J196" s="10" t="s">
        <v>29</v>
      </c>
      <c r="K196" s="147">
        <f t="shared" ref="K196:K199" si="85">I196*$R$7</f>
        <v>172.386144</v>
      </c>
      <c r="L196" s="149"/>
      <c r="M196" s="148"/>
      <c r="N196" s="14">
        <f>G196*K196+0.05</f>
        <v>11412.0127328</v>
      </c>
      <c r="O196" s="15" t="s">
        <v>30</v>
      </c>
      <c r="S196" s="13"/>
      <c r="U196" s="14"/>
    </row>
    <row r="197" spans="1:21" ht="10.5" customHeight="1">
      <c r="A197" s="89">
        <v>514</v>
      </c>
      <c r="B197" s="86" t="s">
        <v>224</v>
      </c>
      <c r="C197" s="150">
        <v>96995</v>
      </c>
      <c r="D197" s="151"/>
      <c r="E197" s="59" t="s">
        <v>232</v>
      </c>
      <c r="F197" s="74" t="s">
        <v>219</v>
      </c>
      <c r="G197" s="147">
        <v>54.4</v>
      </c>
      <c r="H197" s="148"/>
      <c r="I197" s="13">
        <v>31.73</v>
      </c>
      <c r="J197" s="10" t="s">
        <v>29</v>
      </c>
      <c r="K197" s="147">
        <f t="shared" si="85"/>
        <v>40.195563999999997</v>
      </c>
      <c r="L197" s="149"/>
      <c r="M197" s="148"/>
      <c r="N197" s="14">
        <f>G197*K197+0.05</f>
        <v>2186.6886816000001</v>
      </c>
      <c r="O197" s="15" t="s">
        <v>30</v>
      </c>
      <c r="S197" s="13"/>
      <c r="U197" s="14"/>
    </row>
    <row r="198" spans="1:21" ht="30.75" customHeight="1">
      <c r="A198" s="89">
        <v>514</v>
      </c>
      <c r="B198" s="86" t="s">
        <v>220</v>
      </c>
      <c r="C198" s="150">
        <v>3</v>
      </c>
      <c r="D198" s="151"/>
      <c r="E198" s="59" t="s">
        <v>225</v>
      </c>
      <c r="F198" s="74" t="s">
        <v>226</v>
      </c>
      <c r="G198" s="147">
        <v>12</v>
      </c>
      <c r="H198" s="148"/>
      <c r="I198" s="13">
        <v>917.77</v>
      </c>
      <c r="J198" s="10" t="s">
        <v>29</v>
      </c>
      <c r="K198" s="147">
        <f t="shared" si="85"/>
        <v>1162.631036</v>
      </c>
      <c r="L198" s="149"/>
      <c r="M198" s="148"/>
      <c r="N198" s="14">
        <f>G198*K198+0.05</f>
        <v>13951.622432</v>
      </c>
      <c r="O198" s="15" t="s">
        <v>30</v>
      </c>
      <c r="S198" s="13"/>
      <c r="U198" s="14"/>
    </row>
    <row r="199" spans="1:21" ht="27" customHeight="1">
      <c r="A199" s="90">
        <v>514</v>
      </c>
      <c r="B199" s="86" t="s">
        <v>224</v>
      </c>
      <c r="C199" s="150">
        <v>99273</v>
      </c>
      <c r="D199" s="151"/>
      <c r="E199" s="59" t="s">
        <v>255</v>
      </c>
      <c r="F199" s="74" t="s">
        <v>226</v>
      </c>
      <c r="G199" s="147">
        <v>1</v>
      </c>
      <c r="H199" s="148"/>
      <c r="I199" s="13">
        <v>1265.06</v>
      </c>
      <c r="J199" s="10" t="s">
        <v>29</v>
      </c>
      <c r="K199" s="147">
        <f t="shared" si="85"/>
        <v>1602.5780079999997</v>
      </c>
      <c r="L199" s="149"/>
      <c r="M199" s="148"/>
      <c r="N199" s="14">
        <f t="shared" ref="N199" si="86">G199*K199+0.05</f>
        <v>1602.6280079999997</v>
      </c>
      <c r="O199" s="15" t="s">
        <v>30</v>
      </c>
      <c r="S199" s="13"/>
      <c r="U199" s="14"/>
    </row>
    <row r="200" spans="1:21" ht="28.5" customHeight="1">
      <c r="A200" s="90">
        <v>514</v>
      </c>
      <c r="B200" s="86" t="s">
        <v>224</v>
      </c>
      <c r="C200" s="150">
        <v>99273</v>
      </c>
      <c r="D200" s="151"/>
      <c r="E200" s="59" t="s">
        <v>254</v>
      </c>
      <c r="F200" s="74" t="s">
        <v>226</v>
      </c>
      <c r="G200" s="147">
        <v>4</v>
      </c>
      <c r="H200" s="148"/>
      <c r="I200" s="13">
        <v>1265.06</v>
      </c>
      <c r="J200" s="10" t="s">
        <v>29</v>
      </c>
      <c r="K200" s="147">
        <f t="shared" ref="K200" si="87">I200*$R$7</f>
        <v>1602.5780079999997</v>
      </c>
      <c r="L200" s="149"/>
      <c r="M200" s="148"/>
      <c r="N200" s="14">
        <f t="shared" ref="N200" si="88">G200*K200+0.05</f>
        <v>6410.3620319999991</v>
      </c>
      <c r="O200" s="15" t="s">
        <v>30</v>
      </c>
      <c r="S200" s="13"/>
      <c r="U200" s="14"/>
    </row>
    <row r="201" spans="1:21" ht="19.5" customHeight="1">
      <c r="A201" s="91">
        <v>514</v>
      </c>
      <c r="B201" s="86" t="s">
        <v>224</v>
      </c>
      <c r="C201" s="150">
        <v>90050</v>
      </c>
      <c r="D201" s="151"/>
      <c r="E201" s="59" t="s">
        <v>227</v>
      </c>
      <c r="F201" s="74" t="s">
        <v>222</v>
      </c>
      <c r="G201" s="147">
        <v>3.58</v>
      </c>
      <c r="H201" s="148"/>
      <c r="I201" s="13">
        <v>245</v>
      </c>
      <c r="J201" s="10" t="s">
        <v>29</v>
      </c>
      <c r="K201" s="147">
        <f t="shared" ref="K201" si="89">I201*$R$7</f>
        <v>310.36599999999999</v>
      </c>
      <c r="L201" s="149"/>
      <c r="M201" s="148"/>
      <c r="N201" s="14">
        <f t="shared" ref="N201" si="90">G201*K201+0.05</f>
        <v>1111.1602799999998</v>
      </c>
      <c r="O201" s="15" t="s">
        <v>30</v>
      </c>
      <c r="S201" s="13">
        <v>31.37</v>
      </c>
      <c r="U201" s="20">
        <v>4089.64</v>
      </c>
    </row>
    <row r="202" spans="1:21" hidden="1">
      <c r="A202" s="162"/>
      <c r="B202" s="163"/>
      <c r="C202" s="164"/>
      <c r="D202" s="165"/>
      <c r="E202" s="165"/>
      <c r="F202" s="166"/>
      <c r="G202" s="220"/>
      <c r="H202" s="221"/>
      <c r="I202" s="221"/>
      <c r="J202" s="221"/>
      <c r="K202" s="221"/>
      <c r="L202" s="221"/>
      <c r="M202" s="221"/>
      <c r="N202" s="221"/>
      <c r="O202" s="222"/>
      <c r="Q202" s="53">
        <f>G202</f>
        <v>0</v>
      </c>
    </row>
    <row r="203" spans="1:21" hidden="1">
      <c r="A203" s="88"/>
      <c r="B203" s="76"/>
      <c r="C203" s="152"/>
      <c r="D203" s="153"/>
      <c r="E203" s="7"/>
      <c r="F203" s="6"/>
      <c r="G203" s="152"/>
      <c r="H203" s="153"/>
      <c r="I203" s="8"/>
      <c r="J203" s="8"/>
      <c r="K203" s="154"/>
      <c r="L203" s="155"/>
      <c r="M203" s="156"/>
      <c r="N203" s="19"/>
      <c r="O203" s="6"/>
      <c r="S203" s="8"/>
      <c r="U203" s="19">
        <v>5023.3900000000003</v>
      </c>
    </row>
    <row r="204" spans="1:21" ht="36.75" hidden="1" customHeight="1">
      <c r="A204" s="89"/>
      <c r="B204" s="80"/>
      <c r="C204" s="150"/>
      <c r="D204" s="151"/>
      <c r="E204" s="11"/>
      <c r="F204" s="12"/>
      <c r="G204" s="147"/>
      <c r="H204" s="148"/>
      <c r="I204" s="13"/>
      <c r="J204" s="10"/>
      <c r="K204" s="147"/>
      <c r="L204" s="149"/>
      <c r="M204" s="148"/>
      <c r="N204" s="14"/>
      <c r="O204" s="15" t="s">
        <v>30</v>
      </c>
      <c r="S204" s="13">
        <v>28.57</v>
      </c>
      <c r="U204" s="20">
        <v>2223.15</v>
      </c>
    </row>
    <row r="205" spans="1:21" ht="18" hidden="1">
      <c r="A205" s="89"/>
      <c r="B205" s="80"/>
      <c r="C205" s="150"/>
      <c r="D205" s="151"/>
      <c r="E205" s="11"/>
      <c r="F205" s="12"/>
      <c r="G205" s="147"/>
      <c r="H205" s="148"/>
      <c r="I205" s="13"/>
      <c r="J205" s="10"/>
      <c r="K205" s="147"/>
      <c r="L205" s="149"/>
      <c r="M205" s="148"/>
      <c r="N205" s="14"/>
      <c r="O205" s="15" t="s">
        <v>30</v>
      </c>
      <c r="S205" s="13">
        <v>32.86</v>
      </c>
      <c r="U205" s="20">
        <v>2486.14</v>
      </c>
    </row>
    <row r="206" spans="1:21" ht="24.75" hidden="1" customHeight="1">
      <c r="A206" s="89"/>
      <c r="B206" s="80"/>
      <c r="C206" s="150"/>
      <c r="D206" s="151"/>
      <c r="E206" s="11"/>
      <c r="F206" s="12"/>
      <c r="G206" s="147"/>
      <c r="H206" s="148"/>
      <c r="I206" s="13"/>
      <c r="J206" s="10"/>
      <c r="K206" s="147"/>
      <c r="L206" s="149"/>
      <c r="M206" s="148"/>
      <c r="N206" s="14"/>
      <c r="O206" s="15" t="s">
        <v>30</v>
      </c>
      <c r="S206" s="13"/>
      <c r="U206" s="20"/>
    </row>
    <row r="207" spans="1:21" ht="39.75" customHeight="1">
      <c r="A207" s="89">
        <v>613</v>
      </c>
      <c r="B207" s="80" t="s">
        <v>26</v>
      </c>
      <c r="C207" s="150">
        <v>83627</v>
      </c>
      <c r="D207" s="151"/>
      <c r="E207" s="59" t="s">
        <v>229</v>
      </c>
      <c r="F207" s="74" t="s">
        <v>226</v>
      </c>
      <c r="G207" s="147">
        <v>4</v>
      </c>
      <c r="H207" s="148"/>
      <c r="I207" s="13">
        <v>364.64</v>
      </c>
      <c r="J207" s="10" t="s">
        <v>29</v>
      </c>
      <c r="K207" s="147">
        <f t="shared" ref="K207" si="91">I207*$R$7</f>
        <v>461.92595199999994</v>
      </c>
      <c r="L207" s="149"/>
      <c r="M207" s="148"/>
      <c r="N207" s="14">
        <f>G207*K207-0.07</f>
        <v>1847.6338079999998</v>
      </c>
      <c r="O207" s="15" t="s">
        <v>30</v>
      </c>
      <c r="S207" s="13"/>
      <c r="U207" s="20"/>
    </row>
    <row r="208" spans="1:21" ht="36">
      <c r="A208" s="89">
        <v>613</v>
      </c>
      <c r="B208" s="80" t="s">
        <v>26</v>
      </c>
      <c r="C208" s="150">
        <v>83627</v>
      </c>
      <c r="D208" s="151"/>
      <c r="E208" s="59" t="s">
        <v>228</v>
      </c>
      <c r="F208" s="74" t="s">
        <v>226</v>
      </c>
      <c r="G208" s="147">
        <v>1</v>
      </c>
      <c r="H208" s="148"/>
      <c r="I208" s="13">
        <v>364.64</v>
      </c>
      <c r="J208" s="10" t="s">
        <v>29</v>
      </c>
      <c r="K208" s="147">
        <f t="shared" ref="K208" si="92">I208*$R$7</f>
        <v>461.92595199999994</v>
      </c>
      <c r="L208" s="149"/>
      <c r="M208" s="148"/>
      <c r="N208" s="14">
        <f>G208*K208-0.07</f>
        <v>461.85595199999995</v>
      </c>
      <c r="O208" s="15" t="s">
        <v>30</v>
      </c>
      <c r="S208" s="18">
        <v>4.99</v>
      </c>
      <c r="U208" s="14">
        <v>314.10000000000002</v>
      </c>
    </row>
    <row r="209" spans="1:21" hidden="1">
      <c r="A209" s="88"/>
      <c r="B209" s="76"/>
      <c r="C209" s="152"/>
      <c r="D209" s="153"/>
      <c r="E209" s="16"/>
      <c r="F209" s="6"/>
      <c r="G209" s="152"/>
      <c r="H209" s="153"/>
      <c r="I209" s="6"/>
      <c r="J209" s="6"/>
      <c r="K209" s="173"/>
      <c r="L209" s="174"/>
      <c r="M209" s="175"/>
      <c r="N209" s="22"/>
      <c r="O209" s="6"/>
      <c r="S209" s="6"/>
      <c r="U209" s="22">
        <v>1437.85</v>
      </c>
    </row>
    <row r="210" spans="1:21" hidden="1">
      <c r="A210" s="89"/>
      <c r="B210" s="80"/>
      <c r="C210" s="150"/>
      <c r="D210" s="151"/>
      <c r="E210" s="11"/>
      <c r="F210" s="12"/>
      <c r="G210" s="147"/>
      <c r="H210" s="148"/>
      <c r="I210" s="13"/>
      <c r="J210" s="10"/>
      <c r="K210" s="147"/>
      <c r="L210" s="149"/>
      <c r="M210" s="148"/>
      <c r="N210" s="14"/>
      <c r="O210" s="15"/>
      <c r="S210" s="13">
        <v>76.38</v>
      </c>
      <c r="U210" s="20">
        <v>1437.85</v>
      </c>
    </row>
    <row r="211" spans="1:21" hidden="1">
      <c r="A211" s="162"/>
      <c r="B211" s="163"/>
      <c r="C211" s="164"/>
      <c r="D211" s="165"/>
      <c r="E211" s="165"/>
      <c r="F211" s="166"/>
      <c r="G211" s="220"/>
      <c r="H211" s="221"/>
      <c r="I211" s="221"/>
      <c r="J211" s="221"/>
      <c r="K211" s="221"/>
      <c r="L211" s="221"/>
      <c r="M211" s="221"/>
      <c r="N211" s="221"/>
      <c r="O211" s="222"/>
      <c r="Q211" s="53">
        <f>G211</f>
        <v>0</v>
      </c>
    </row>
    <row r="212" spans="1:21" hidden="1">
      <c r="A212" s="88"/>
      <c r="B212" s="76"/>
      <c r="C212" s="152"/>
      <c r="D212" s="153"/>
      <c r="E212" s="7"/>
      <c r="F212" s="6"/>
      <c r="G212" s="152"/>
      <c r="H212" s="153"/>
      <c r="I212" s="8"/>
      <c r="J212" s="8"/>
      <c r="K212" s="154"/>
      <c r="L212" s="155"/>
      <c r="M212" s="156"/>
      <c r="N212" s="9"/>
      <c r="O212" s="6"/>
      <c r="S212" s="8"/>
      <c r="U212" s="19">
        <v>10528.04</v>
      </c>
    </row>
    <row r="213" spans="1:21" hidden="1">
      <c r="A213" s="89"/>
      <c r="B213" s="80"/>
      <c r="C213" s="150"/>
      <c r="D213" s="151"/>
      <c r="E213" s="11"/>
      <c r="F213" s="12"/>
      <c r="G213" s="147"/>
      <c r="H213" s="148"/>
      <c r="I213" s="13"/>
      <c r="J213" s="10"/>
      <c r="K213" s="147"/>
      <c r="L213" s="149"/>
      <c r="M213" s="148"/>
      <c r="N213" s="14"/>
      <c r="O213" s="15"/>
      <c r="S213" s="13">
        <v>203.71</v>
      </c>
      <c r="U213" s="20">
        <v>3096.72</v>
      </c>
    </row>
    <row r="214" spans="1:21" ht="30.75" hidden="1" customHeight="1">
      <c r="A214" s="89"/>
      <c r="B214" s="80"/>
      <c r="C214" s="150"/>
      <c r="D214" s="151"/>
      <c r="E214" s="11"/>
      <c r="F214" s="12"/>
      <c r="G214" s="170"/>
      <c r="H214" s="171"/>
      <c r="I214" s="13"/>
      <c r="J214" s="10"/>
      <c r="K214" s="147"/>
      <c r="L214" s="149"/>
      <c r="M214" s="148"/>
      <c r="N214" s="14"/>
      <c r="O214" s="15"/>
      <c r="S214" s="13">
        <v>214.21</v>
      </c>
      <c r="U214" s="14">
        <v>271.36</v>
      </c>
    </row>
    <row r="215" spans="1:21" ht="34.5" hidden="1" customHeight="1">
      <c r="A215" s="89"/>
      <c r="B215" s="80"/>
      <c r="C215" s="150"/>
      <c r="D215" s="151"/>
      <c r="E215" s="11"/>
      <c r="F215" s="12"/>
      <c r="G215" s="147"/>
      <c r="H215" s="148"/>
      <c r="I215" s="13"/>
      <c r="J215" s="10"/>
      <c r="K215" s="147"/>
      <c r="L215" s="149"/>
      <c r="M215" s="148"/>
      <c r="N215" s="14"/>
      <c r="O215" s="15"/>
      <c r="S215" s="13">
        <v>328.75</v>
      </c>
      <c r="U215" s="20">
        <v>4997.5200000000004</v>
      </c>
    </row>
    <row r="216" spans="1:21" ht="46.5" hidden="1" customHeight="1">
      <c r="A216" s="89"/>
      <c r="B216" s="80"/>
      <c r="C216" s="177"/>
      <c r="D216" s="178"/>
      <c r="E216" s="11"/>
      <c r="F216" s="11"/>
      <c r="G216" s="170"/>
      <c r="H216" s="171"/>
      <c r="I216" s="13"/>
      <c r="J216" s="10"/>
      <c r="K216" s="147"/>
      <c r="L216" s="149"/>
      <c r="M216" s="148"/>
      <c r="N216" s="14"/>
      <c r="O216" s="15"/>
      <c r="S216" s="13">
        <v>439.44</v>
      </c>
      <c r="U216" s="14">
        <v>556.67999999999995</v>
      </c>
    </row>
    <row r="217" spans="1:21" ht="43.5" hidden="1" customHeight="1">
      <c r="A217" s="89"/>
      <c r="B217" s="80"/>
      <c r="C217" s="160"/>
      <c r="D217" s="161"/>
      <c r="E217" s="11"/>
      <c r="F217" s="12"/>
      <c r="G217" s="170"/>
      <c r="H217" s="171"/>
      <c r="I217" s="13"/>
      <c r="J217" s="10"/>
      <c r="K217" s="147"/>
      <c r="L217" s="149"/>
      <c r="M217" s="148"/>
      <c r="N217" s="14"/>
      <c r="O217" s="23"/>
      <c r="S217" s="13">
        <v>163.80000000000001</v>
      </c>
      <c r="U217" s="14">
        <v>207.5</v>
      </c>
    </row>
    <row r="218" spans="1:21" ht="33" hidden="1" customHeight="1">
      <c r="A218" s="89"/>
      <c r="B218" s="80"/>
      <c r="C218" s="150"/>
      <c r="D218" s="151"/>
      <c r="E218" s="11"/>
      <c r="F218" s="12"/>
      <c r="G218" s="170"/>
      <c r="H218" s="171"/>
      <c r="I218" s="13"/>
      <c r="J218" s="10"/>
      <c r="K218" s="147"/>
      <c r="L218" s="149"/>
      <c r="M218" s="148"/>
      <c r="N218" s="14"/>
      <c r="O218" s="15"/>
      <c r="S218" s="13">
        <v>62.08</v>
      </c>
      <c r="U218" s="14">
        <v>157.28</v>
      </c>
    </row>
    <row r="219" spans="1:21" ht="33.75" hidden="1" customHeight="1">
      <c r="A219" s="89"/>
      <c r="B219" s="80"/>
      <c r="C219" s="150"/>
      <c r="D219" s="151"/>
      <c r="E219" s="11"/>
      <c r="F219" s="12"/>
      <c r="G219" s="147"/>
      <c r="H219" s="148"/>
      <c r="I219" s="13"/>
      <c r="J219" s="10"/>
      <c r="K219" s="147"/>
      <c r="L219" s="149"/>
      <c r="M219" s="148"/>
      <c r="N219" s="14"/>
      <c r="O219" s="15"/>
      <c r="S219" s="13">
        <v>67.5</v>
      </c>
      <c r="U219" s="14">
        <v>855.1</v>
      </c>
    </row>
    <row r="220" spans="1:21" ht="35.25" hidden="1" customHeight="1">
      <c r="A220" s="89"/>
      <c r="B220" s="80"/>
      <c r="C220" s="150"/>
      <c r="D220" s="151"/>
      <c r="E220" s="11"/>
      <c r="F220" s="12"/>
      <c r="G220" s="147"/>
      <c r="H220" s="148"/>
      <c r="I220" s="13"/>
      <c r="J220" s="10"/>
      <c r="K220" s="147"/>
      <c r="L220" s="149"/>
      <c r="M220" s="148"/>
      <c r="N220" s="14"/>
      <c r="O220" s="15"/>
      <c r="S220" s="13">
        <v>23.34</v>
      </c>
      <c r="U220" s="14">
        <v>354.84</v>
      </c>
    </row>
    <row r="221" spans="1:21" ht="37.5" hidden="1" customHeight="1">
      <c r="A221" s="89"/>
      <c r="B221" s="80"/>
      <c r="C221" s="150"/>
      <c r="D221" s="151"/>
      <c r="E221" s="11"/>
      <c r="F221" s="12"/>
      <c r="G221" s="170"/>
      <c r="H221" s="171"/>
      <c r="I221" s="13"/>
      <c r="J221" s="10"/>
      <c r="K221" s="147"/>
      <c r="L221" s="149"/>
      <c r="M221" s="148"/>
      <c r="N221" s="14"/>
      <c r="O221" s="15"/>
      <c r="S221" s="13">
        <v>24.5</v>
      </c>
      <c r="U221" s="14">
        <v>31.04</v>
      </c>
    </row>
    <row r="222" spans="1:21" hidden="1">
      <c r="A222" s="88"/>
      <c r="B222" s="76"/>
      <c r="C222" s="152"/>
      <c r="D222" s="153"/>
      <c r="E222" s="16"/>
      <c r="F222" s="6"/>
      <c r="G222" s="152"/>
      <c r="H222" s="153"/>
      <c r="I222" s="6"/>
      <c r="J222" s="6"/>
      <c r="K222" s="173"/>
      <c r="L222" s="174"/>
      <c r="M222" s="175"/>
      <c r="N222" s="9"/>
      <c r="O222" s="6"/>
      <c r="S222" s="6"/>
      <c r="U222" s="22">
        <v>2868.57</v>
      </c>
    </row>
    <row r="223" spans="1:21" hidden="1">
      <c r="A223" s="89"/>
      <c r="B223" s="80"/>
      <c r="C223" s="150"/>
      <c r="D223" s="151"/>
      <c r="E223" s="11"/>
      <c r="F223" s="12"/>
      <c r="G223" s="170"/>
      <c r="H223" s="171"/>
      <c r="I223" s="13"/>
      <c r="J223" s="10"/>
      <c r="K223" s="147"/>
      <c r="L223" s="149"/>
      <c r="M223" s="148"/>
      <c r="N223" s="14"/>
      <c r="O223" s="15"/>
      <c r="S223" s="13">
        <v>229.74</v>
      </c>
      <c r="U223" s="14">
        <v>640.27</v>
      </c>
    </row>
    <row r="224" spans="1:21" hidden="1">
      <c r="A224" s="89"/>
      <c r="B224" s="80"/>
      <c r="C224" s="150"/>
      <c r="D224" s="151"/>
      <c r="E224" s="11"/>
      <c r="F224" s="12"/>
      <c r="G224" s="170"/>
      <c r="H224" s="171"/>
      <c r="I224" s="13"/>
      <c r="J224" s="10"/>
      <c r="K224" s="147"/>
      <c r="L224" s="149"/>
      <c r="M224" s="148"/>
      <c r="N224" s="14"/>
      <c r="O224" s="15"/>
      <c r="S224" s="13">
        <v>389.11</v>
      </c>
      <c r="U224" s="20">
        <v>1010.49</v>
      </c>
    </row>
    <row r="225" spans="1:21" hidden="1">
      <c r="A225" s="89"/>
      <c r="B225" s="80"/>
      <c r="C225" s="160"/>
      <c r="D225" s="161"/>
      <c r="E225" s="11"/>
      <c r="F225" s="12"/>
      <c r="G225" s="170"/>
      <c r="H225" s="171"/>
      <c r="I225" s="13"/>
      <c r="J225" s="10"/>
      <c r="K225" s="147"/>
      <c r="L225" s="149"/>
      <c r="M225" s="148"/>
      <c r="N225" s="14"/>
      <c r="O225" s="15"/>
      <c r="S225" s="13">
        <v>199.17</v>
      </c>
      <c r="U225" s="14">
        <v>244.74</v>
      </c>
    </row>
    <row r="226" spans="1:21" hidden="1">
      <c r="A226" s="89"/>
      <c r="B226" s="80"/>
      <c r="C226" s="150"/>
      <c r="D226" s="151"/>
      <c r="E226" s="11"/>
      <c r="F226" s="12"/>
      <c r="G226" s="170"/>
      <c r="H226" s="171"/>
      <c r="I226" s="13"/>
      <c r="J226" s="10"/>
      <c r="K226" s="147"/>
      <c r="L226" s="149"/>
      <c r="M226" s="148"/>
      <c r="N226" s="14"/>
      <c r="O226" s="15"/>
      <c r="S226" s="13">
        <v>410.05</v>
      </c>
      <c r="U226" s="14">
        <v>872.68</v>
      </c>
    </row>
    <row r="227" spans="1:21" ht="37.5" hidden="1" customHeight="1">
      <c r="A227" s="89"/>
      <c r="B227" s="80"/>
      <c r="C227" s="150"/>
      <c r="D227" s="151"/>
      <c r="E227" s="11"/>
      <c r="F227" s="12"/>
      <c r="G227" s="170"/>
      <c r="H227" s="171"/>
      <c r="I227" s="13"/>
      <c r="J227" s="10"/>
      <c r="K227" s="147"/>
      <c r="L227" s="149"/>
      <c r="M227" s="148"/>
      <c r="N227" s="14"/>
      <c r="O227" s="15"/>
      <c r="S227" s="13">
        <v>79.25</v>
      </c>
      <c r="U227" s="14">
        <v>100.39</v>
      </c>
    </row>
    <row r="228" spans="1:21" hidden="1">
      <c r="A228" s="88"/>
      <c r="B228" s="76"/>
      <c r="C228" s="152"/>
      <c r="D228" s="153"/>
      <c r="E228" s="16"/>
      <c r="F228" s="6"/>
      <c r="G228" s="152"/>
      <c r="H228" s="153"/>
      <c r="I228" s="6"/>
      <c r="J228" s="6"/>
      <c r="K228" s="173"/>
      <c r="L228" s="174"/>
      <c r="M228" s="175"/>
      <c r="N228" s="17"/>
      <c r="O228" s="6"/>
      <c r="S228" s="6"/>
      <c r="U228" s="17">
        <v>524.29</v>
      </c>
    </row>
    <row r="229" spans="1:21" ht="29.25" hidden="1" customHeight="1">
      <c r="A229" s="89"/>
      <c r="B229" s="80"/>
      <c r="C229" s="160"/>
      <c r="D229" s="161"/>
      <c r="E229" s="11"/>
      <c r="F229" s="12"/>
      <c r="G229" s="170"/>
      <c r="H229" s="171"/>
      <c r="I229" s="13"/>
      <c r="J229" s="10"/>
      <c r="K229" s="147"/>
      <c r="L229" s="149"/>
      <c r="M229" s="148"/>
      <c r="N229" s="14"/>
      <c r="O229" s="15"/>
      <c r="S229" s="13">
        <v>246.35</v>
      </c>
      <c r="U229" s="14">
        <v>524.29</v>
      </c>
    </row>
    <row r="230" spans="1:21" hidden="1">
      <c r="A230" s="162"/>
      <c r="B230" s="163"/>
      <c r="C230" s="164"/>
      <c r="D230" s="165"/>
      <c r="E230" s="165"/>
      <c r="F230" s="166"/>
      <c r="G230" s="220"/>
      <c r="H230" s="221"/>
      <c r="I230" s="221"/>
      <c r="J230" s="221"/>
      <c r="K230" s="221"/>
      <c r="L230" s="221"/>
      <c r="M230" s="221"/>
      <c r="N230" s="221"/>
      <c r="O230" s="222"/>
      <c r="Q230" s="53">
        <f>G230</f>
        <v>0</v>
      </c>
    </row>
    <row r="231" spans="1:21" hidden="1">
      <c r="A231" s="88"/>
      <c r="B231" s="76"/>
      <c r="C231" s="152"/>
      <c r="D231" s="153"/>
      <c r="E231" s="7"/>
      <c r="F231" s="6"/>
      <c r="G231" s="152"/>
      <c r="H231" s="153"/>
      <c r="I231" s="8"/>
      <c r="J231" s="8"/>
      <c r="K231" s="154"/>
      <c r="L231" s="155"/>
      <c r="M231" s="156"/>
      <c r="N231" s="9"/>
      <c r="O231" s="6"/>
      <c r="S231" s="8"/>
      <c r="U231" s="19">
        <v>9621.6200000000008</v>
      </c>
    </row>
    <row r="232" spans="1:21" ht="22.5" hidden="1" customHeight="1">
      <c r="A232" s="89"/>
      <c r="B232" s="80"/>
      <c r="C232" s="160"/>
      <c r="D232" s="161"/>
      <c r="E232" s="11"/>
      <c r="F232" s="12"/>
      <c r="G232" s="170"/>
      <c r="H232" s="171"/>
      <c r="I232" s="13"/>
      <c r="J232" s="10"/>
      <c r="K232" s="147"/>
      <c r="L232" s="149"/>
      <c r="M232" s="148"/>
      <c r="N232" s="14"/>
      <c r="O232" s="15"/>
      <c r="S232" s="13">
        <v>999.28</v>
      </c>
      <c r="U232" s="20">
        <v>1265.8900000000001</v>
      </c>
    </row>
    <row r="233" spans="1:21" hidden="1">
      <c r="A233" s="89"/>
      <c r="B233" s="80"/>
      <c r="C233" s="160"/>
      <c r="D233" s="161"/>
      <c r="E233" s="11"/>
      <c r="F233" s="12"/>
      <c r="G233" s="170"/>
      <c r="H233" s="171"/>
      <c r="I233" s="13"/>
      <c r="J233" s="10"/>
      <c r="K233" s="147"/>
      <c r="L233" s="149"/>
      <c r="M233" s="148"/>
      <c r="N233" s="14"/>
      <c r="O233" s="15"/>
      <c r="S233" s="13">
        <v>95.71</v>
      </c>
      <c r="U233" s="14">
        <v>121.25</v>
      </c>
    </row>
    <row r="234" spans="1:21" ht="22.5" hidden="1" customHeight="1">
      <c r="A234" s="89"/>
      <c r="B234" s="80"/>
      <c r="C234" s="150"/>
      <c r="D234" s="151"/>
      <c r="E234" s="11"/>
      <c r="F234" s="12"/>
      <c r="G234" s="170"/>
      <c r="H234" s="171"/>
      <c r="I234" s="13"/>
      <c r="J234" s="10"/>
      <c r="K234" s="147"/>
      <c r="L234" s="149"/>
      <c r="M234" s="148"/>
      <c r="N234" s="14"/>
      <c r="O234" s="15"/>
      <c r="S234" s="13">
        <v>18.05</v>
      </c>
      <c r="U234" s="14">
        <v>22.87</v>
      </c>
    </row>
    <row r="235" spans="1:21" ht="23.25" hidden="1" customHeight="1">
      <c r="A235" s="89"/>
      <c r="B235" s="80"/>
      <c r="C235" s="160"/>
      <c r="D235" s="161"/>
      <c r="E235" s="11"/>
      <c r="F235" s="12"/>
      <c r="G235" s="170"/>
      <c r="H235" s="171"/>
      <c r="I235" s="13"/>
      <c r="J235" s="10"/>
      <c r="K235" s="147"/>
      <c r="L235" s="149"/>
      <c r="M235" s="148"/>
      <c r="N235" s="14"/>
      <c r="O235" s="15"/>
      <c r="S235" s="13">
        <v>23.89</v>
      </c>
      <c r="U235" s="14">
        <v>265.68</v>
      </c>
    </row>
    <row r="236" spans="1:21" ht="31.5" hidden="1" customHeight="1">
      <c r="A236" s="89"/>
      <c r="B236" s="80"/>
      <c r="C236" s="160"/>
      <c r="D236" s="161"/>
      <c r="E236" s="11"/>
      <c r="F236" s="12"/>
      <c r="G236" s="170"/>
      <c r="H236" s="171"/>
      <c r="I236" s="13"/>
      <c r="J236" s="10"/>
      <c r="K236" s="147"/>
      <c r="L236" s="149"/>
      <c r="M236" s="148"/>
      <c r="N236" s="14"/>
      <c r="O236" s="15"/>
      <c r="S236" s="13">
        <v>153.54</v>
      </c>
      <c r="U236" s="14">
        <v>194.5</v>
      </c>
    </row>
    <row r="237" spans="1:21" ht="33" hidden="1" customHeight="1">
      <c r="A237" s="89"/>
      <c r="B237" s="80"/>
      <c r="C237" s="150"/>
      <c r="D237" s="151"/>
      <c r="E237" s="11"/>
      <c r="F237" s="12"/>
      <c r="G237" s="147"/>
      <c r="H237" s="148"/>
      <c r="I237" s="13"/>
      <c r="J237" s="10"/>
      <c r="K237" s="147"/>
      <c r="L237" s="149"/>
      <c r="M237" s="148"/>
      <c r="N237" s="14"/>
      <c r="O237" s="15"/>
      <c r="S237" s="18">
        <v>6.08</v>
      </c>
      <c r="U237" s="20">
        <v>1029.18</v>
      </c>
    </row>
    <row r="238" spans="1:21" hidden="1">
      <c r="A238" s="89"/>
      <c r="B238" s="80"/>
      <c r="C238" s="160"/>
      <c r="D238" s="161"/>
      <c r="E238" s="11"/>
      <c r="F238" s="12"/>
      <c r="G238" s="147"/>
      <c r="H238" s="148"/>
      <c r="I238" s="13"/>
      <c r="J238" s="10"/>
      <c r="K238" s="147"/>
      <c r="L238" s="149"/>
      <c r="M238" s="148"/>
      <c r="N238" s="14"/>
      <c r="O238" s="15"/>
      <c r="S238" s="18">
        <v>6.01</v>
      </c>
      <c r="U238" s="14">
        <v>342.45</v>
      </c>
    </row>
    <row r="239" spans="1:21" ht="42.75" hidden="1" customHeight="1">
      <c r="A239" s="89"/>
      <c r="B239" s="80"/>
      <c r="C239" s="160"/>
      <c r="D239" s="161"/>
      <c r="E239" s="11"/>
      <c r="F239" s="12"/>
      <c r="G239" s="170"/>
      <c r="H239" s="171"/>
      <c r="I239" s="13"/>
      <c r="J239" s="10"/>
      <c r="K239" s="147"/>
      <c r="L239" s="149"/>
      <c r="M239" s="148"/>
      <c r="N239" s="14"/>
      <c r="O239" s="15"/>
      <c r="S239" s="13">
        <v>295.95</v>
      </c>
      <c r="U239" s="14">
        <v>374.91</v>
      </c>
    </row>
    <row r="240" spans="1:21" ht="32.25" hidden="1" customHeight="1">
      <c r="A240" s="89"/>
      <c r="B240" s="80"/>
      <c r="C240" s="150"/>
      <c r="D240" s="151"/>
      <c r="E240" s="11"/>
      <c r="F240" s="12"/>
      <c r="G240" s="147"/>
      <c r="H240" s="148"/>
      <c r="I240" s="13"/>
      <c r="J240" s="10"/>
      <c r="K240" s="147"/>
      <c r="L240" s="149"/>
      <c r="M240" s="148"/>
      <c r="N240" s="14"/>
      <c r="O240" s="15"/>
      <c r="S240" s="18">
        <v>1.58</v>
      </c>
      <c r="U240" s="14">
        <v>400</v>
      </c>
    </row>
    <row r="241" spans="1:21" ht="20.25" hidden="1" customHeight="1">
      <c r="A241" s="89"/>
      <c r="B241" s="80"/>
      <c r="C241" s="150"/>
      <c r="D241" s="151"/>
      <c r="E241" s="11"/>
      <c r="F241" s="12"/>
      <c r="G241" s="147"/>
      <c r="H241" s="148"/>
      <c r="I241" s="13"/>
      <c r="J241" s="10"/>
      <c r="K241" s="147"/>
      <c r="L241" s="149"/>
      <c r="M241" s="148"/>
      <c r="N241" s="14"/>
      <c r="O241" s="15"/>
      <c r="S241" s="18">
        <v>8.0399999999999991</v>
      </c>
      <c r="U241" s="14">
        <v>147.25</v>
      </c>
    </row>
    <row r="242" spans="1:21" hidden="1">
      <c r="A242" s="89"/>
      <c r="B242" s="80"/>
      <c r="C242" s="150"/>
      <c r="D242" s="151"/>
      <c r="E242" s="11"/>
      <c r="F242" s="12"/>
      <c r="G242" s="147"/>
      <c r="H242" s="148"/>
      <c r="I242" s="13"/>
      <c r="J242" s="10"/>
      <c r="K242" s="147"/>
      <c r="L242" s="149"/>
      <c r="M242" s="148"/>
      <c r="N242" s="14"/>
      <c r="O242" s="15"/>
      <c r="S242" s="18">
        <v>4.8099999999999996</v>
      </c>
      <c r="U242" s="14">
        <v>252.13</v>
      </c>
    </row>
    <row r="243" spans="1:21" hidden="1">
      <c r="A243" s="89"/>
      <c r="B243" s="80"/>
      <c r="C243" s="150"/>
      <c r="D243" s="151"/>
      <c r="E243" s="11"/>
      <c r="F243" s="12"/>
      <c r="G243" s="147"/>
      <c r="H243" s="148"/>
      <c r="I243" s="13"/>
      <c r="J243" s="10"/>
      <c r="K243" s="147"/>
      <c r="L243" s="149"/>
      <c r="M243" s="148"/>
      <c r="N243" s="14"/>
      <c r="O243" s="15"/>
      <c r="S243" s="18">
        <v>3.54</v>
      </c>
      <c r="U243" s="14">
        <v>362.75</v>
      </c>
    </row>
    <row r="244" spans="1:21" hidden="1">
      <c r="A244" s="89"/>
      <c r="B244" s="80"/>
      <c r="C244" s="150"/>
      <c r="D244" s="151"/>
      <c r="E244" s="11"/>
      <c r="F244" s="12"/>
      <c r="G244" s="147"/>
      <c r="H244" s="148"/>
      <c r="I244" s="13"/>
      <c r="J244" s="10"/>
      <c r="K244" s="147"/>
      <c r="L244" s="149"/>
      <c r="M244" s="148"/>
      <c r="N244" s="14"/>
      <c r="O244" s="15"/>
      <c r="S244" s="18">
        <v>2.23</v>
      </c>
      <c r="U244" s="14">
        <v>902.4</v>
      </c>
    </row>
    <row r="245" spans="1:21" hidden="1">
      <c r="A245" s="89"/>
      <c r="B245" s="80"/>
      <c r="C245" s="150"/>
      <c r="D245" s="151"/>
      <c r="E245" s="11"/>
      <c r="F245" s="12"/>
      <c r="G245" s="170"/>
      <c r="H245" s="171"/>
      <c r="I245" s="13"/>
      <c r="J245" s="10"/>
      <c r="K245" s="147"/>
      <c r="L245" s="149"/>
      <c r="M245" s="148"/>
      <c r="N245" s="14"/>
      <c r="O245" s="15"/>
      <c r="S245" s="13">
        <v>27.14</v>
      </c>
      <c r="U245" s="14">
        <v>240.66</v>
      </c>
    </row>
    <row r="246" spans="1:21" hidden="1">
      <c r="A246" s="89"/>
      <c r="B246" s="80"/>
      <c r="C246" s="150"/>
      <c r="D246" s="151"/>
      <c r="E246" s="11"/>
      <c r="F246" s="12"/>
      <c r="G246" s="170"/>
      <c r="H246" s="171"/>
      <c r="I246" s="13"/>
      <c r="J246" s="10"/>
      <c r="K246" s="147"/>
      <c r="L246" s="149"/>
      <c r="M246" s="148"/>
      <c r="N246" s="14"/>
      <c r="O246" s="15"/>
      <c r="S246" s="13">
        <v>18.48</v>
      </c>
      <c r="U246" s="14">
        <v>140.46</v>
      </c>
    </row>
    <row r="247" spans="1:21" hidden="1">
      <c r="A247" s="89"/>
      <c r="B247" s="80"/>
      <c r="C247" s="150"/>
      <c r="D247" s="151"/>
      <c r="E247" s="11"/>
      <c r="F247" s="12"/>
      <c r="G247" s="147"/>
      <c r="H247" s="148"/>
      <c r="I247" s="13"/>
      <c r="J247" s="10"/>
      <c r="K247" s="147"/>
      <c r="L247" s="149"/>
      <c r="M247" s="148"/>
      <c r="N247" s="14"/>
      <c r="O247" s="15"/>
      <c r="S247" s="13">
        <v>20.91</v>
      </c>
      <c r="U247" s="14">
        <v>291.39</v>
      </c>
    </row>
    <row r="248" spans="1:21" hidden="1">
      <c r="A248" s="89"/>
      <c r="B248" s="80"/>
      <c r="C248" s="150"/>
      <c r="D248" s="151"/>
      <c r="E248" s="11"/>
      <c r="F248" s="12"/>
      <c r="G248" s="147"/>
      <c r="H248" s="148"/>
      <c r="I248" s="13"/>
      <c r="J248" s="10"/>
      <c r="K248" s="147"/>
      <c r="L248" s="149"/>
      <c r="M248" s="148"/>
      <c r="N248" s="14"/>
      <c r="O248" s="15"/>
      <c r="S248" s="13">
        <v>17.510000000000002</v>
      </c>
      <c r="U248" s="14">
        <v>310.52</v>
      </c>
    </row>
    <row r="249" spans="1:21" hidden="1">
      <c r="A249" s="89"/>
      <c r="B249" s="80"/>
      <c r="C249" s="150"/>
      <c r="D249" s="151"/>
      <c r="E249" s="11"/>
      <c r="F249" s="12"/>
      <c r="G249" s="170"/>
      <c r="H249" s="171"/>
      <c r="I249" s="13"/>
      <c r="J249" s="10"/>
      <c r="K249" s="147"/>
      <c r="L249" s="149"/>
      <c r="M249" s="148"/>
      <c r="N249" s="14"/>
      <c r="O249" s="15"/>
      <c r="S249" s="13">
        <v>21.68</v>
      </c>
      <c r="U249" s="14">
        <v>54.92</v>
      </c>
    </row>
    <row r="250" spans="1:21" hidden="1">
      <c r="A250" s="89"/>
      <c r="B250" s="80"/>
      <c r="C250" s="160"/>
      <c r="D250" s="161"/>
      <c r="E250" s="11"/>
      <c r="F250" s="12"/>
      <c r="G250" s="170"/>
      <c r="H250" s="171"/>
      <c r="I250" s="13"/>
      <c r="J250" s="10"/>
      <c r="K250" s="147"/>
      <c r="L250" s="149"/>
      <c r="M250" s="148"/>
      <c r="N250" s="14"/>
      <c r="O250" s="15"/>
      <c r="S250" s="13">
        <v>21.84</v>
      </c>
      <c r="U250" s="14">
        <v>55.34</v>
      </c>
    </row>
    <row r="251" spans="1:21" hidden="1">
      <c r="A251" s="89"/>
      <c r="B251" s="80"/>
      <c r="C251" s="150"/>
      <c r="D251" s="151"/>
      <c r="E251" s="11"/>
      <c r="F251" s="12"/>
      <c r="G251" s="147"/>
      <c r="H251" s="148"/>
      <c r="I251" s="13"/>
      <c r="J251" s="10"/>
      <c r="K251" s="147"/>
      <c r="L251" s="149"/>
      <c r="M251" s="148"/>
      <c r="N251" s="14"/>
      <c r="O251" s="15"/>
      <c r="S251" s="13">
        <v>95.56</v>
      </c>
      <c r="U251" s="20">
        <v>1936.96</v>
      </c>
    </row>
    <row r="252" spans="1:21" hidden="1">
      <c r="A252" s="89"/>
      <c r="B252" s="80"/>
      <c r="C252" s="150"/>
      <c r="D252" s="151"/>
      <c r="E252" s="11"/>
      <c r="F252" s="12"/>
      <c r="G252" s="170"/>
      <c r="H252" s="171"/>
      <c r="I252" s="13"/>
      <c r="J252" s="10"/>
      <c r="K252" s="147"/>
      <c r="L252" s="149"/>
      <c r="M252" s="148"/>
      <c r="N252" s="14"/>
      <c r="O252" s="15"/>
      <c r="S252" s="13">
        <v>58.32</v>
      </c>
      <c r="U252" s="14">
        <v>295.52</v>
      </c>
    </row>
    <row r="253" spans="1:21" hidden="1">
      <c r="A253" s="89"/>
      <c r="B253" s="80"/>
      <c r="C253" s="150"/>
      <c r="D253" s="151"/>
      <c r="E253" s="11"/>
      <c r="F253" s="12"/>
      <c r="G253" s="170"/>
      <c r="H253" s="171"/>
      <c r="I253" s="13"/>
      <c r="J253" s="10"/>
      <c r="K253" s="147"/>
      <c r="L253" s="149"/>
      <c r="M253" s="148"/>
      <c r="N253" s="14"/>
      <c r="O253" s="15"/>
      <c r="S253" s="13">
        <v>11.33</v>
      </c>
      <c r="U253" s="14">
        <v>43.05</v>
      </c>
    </row>
    <row r="254" spans="1:21" hidden="1">
      <c r="A254" s="89"/>
      <c r="B254" s="80"/>
      <c r="C254" s="150"/>
      <c r="D254" s="151"/>
      <c r="E254" s="11"/>
      <c r="F254" s="12"/>
      <c r="G254" s="170"/>
      <c r="H254" s="171"/>
      <c r="I254" s="13"/>
      <c r="J254" s="10"/>
      <c r="K254" s="147"/>
      <c r="L254" s="149"/>
      <c r="M254" s="148"/>
      <c r="N254" s="14"/>
      <c r="O254" s="15"/>
      <c r="S254" s="13">
        <v>10.9</v>
      </c>
      <c r="U254" s="14">
        <v>27.62</v>
      </c>
    </row>
    <row r="255" spans="1:21" hidden="1">
      <c r="A255" s="89"/>
      <c r="B255" s="80"/>
      <c r="C255" s="150"/>
      <c r="D255" s="151"/>
      <c r="E255" s="11"/>
      <c r="F255" s="12"/>
      <c r="G255" s="170"/>
      <c r="H255" s="171"/>
      <c r="I255" s="13"/>
      <c r="J255" s="10"/>
      <c r="K255" s="147"/>
      <c r="L255" s="149"/>
      <c r="M255" s="148"/>
      <c r="N255" s="14"/>
      <c r="O255" s="15"/>
      <c r="S255" s="13">
        <v>66.52</v>
      </c>
      <c r="U255" s="14">
        <v>84.27</v>
      </c>
    </row>
    <row r="256" spans="1:21" hidden="1">
      <c r="A256" s="89"/>
      <c r="B256" s="80"/>
      <c r="C256" s="177"/>
      <c r="D256" s="178"/>
      <c r="E256" s="11"/>
      <c r="F256" s="11"/>
      <c r="G256" s="170"/>
      <c r="H256" s="171"/>
      <c r="I256" s="13"/>
      <c r="J256" s="10"/>
      <c r="K256" s="147"/>
      <c r="L256" s="149"/>
      <c r="M256" s="148"/>
      <c r="N256" s="14"/>
      <c r="O256" s="15"/>
      <c r="S256" s="13">
        <v>73.91</v>
      </c>
      <c r="U256" s="14">
        <v>280.89</v>
      </c>
    </row>
    <row r="257" spans="1:21" hidden="1">
      <c r="A257" s="89"/>
      <c r="B257" s="80"/>
      <c r="C257" s="150"/>
      <c r="D257" s="151"/>
      <c r="E257" s="11"/>
      <c r="F257" s="12"/>
      <c r="G257" s="170"/>
      <c r="H257" s="171"/>
      <c r="I257" s="13"/>
      <c r="J257" s="10"/>
      <c r="K257" s="147"/>
      <c r="L257" s="149"/>
      <c r="M257" s="148"/>
      <c r="N257" s="14"/>
      <c r="O257" s="15"/>
      <c r="S257" s="13">
        <v>67.97</v>
      </c>
      <c r="U257" s="14">
        <v>86.1</v>
      </c>
    </row>
    <row r="258" spans="1:21" hidden="1">
      <c r="A258" s="89"/>
      <c r="B258" s="80"/>
      <c r="C258" s="150"/>
      <c r="D258" s="151"/>
      <c r="E258" s="11"/>
      <c r="F258" s="12"/>
      <c r="G258" s="170"/>
      <c r="H258" s="171"/>
      <c r="I258" s="13"/>
      <c r="J258" s="10"/>
      <c r="K258" s="147"/>
      <c r="L258" s="149"/>
      <c r="M258" s="148"/>
      <c r="N258" s="14"/>
      <c r="O258" s="15"/>
      <c r="S258" s="13">
        <v>36.57</v>
      </c>
      <c r="U258" s="14">
        <v>92.66</v>
      </c>
    </row>
    <row r="259" spans="1:21" hidden="1">
      <c r="A259" s="88"/>
      <c r="B259" s="76"/>
      <c r="C259" s="152"/>
      <c r="D259" s="153"/>
      <c r="E259" s="16"/>
      <c r="F259" s="6"/>
      <c r="G259" s="152"/>
      <c r="H259" s="153"/>
      <c r="I259" s="6"/>
      <c r="J259" s="6"/>
      <c r="K259" s="173"/>
      <c r="L259" s="174"/>
      <c r="M259" s="175"/>
      <c r="N259" s="9"/>
      <c r="O259" s="6"/>
      <c r="S259" s="6"/>
      <c r="U259" s="17">
        <v>654.52</v>
      </c>
    </row>
    <row r="260" spans="1:21" hidden="1">
      <c r="A260" s="89"/>
      <c r="B260" s="80"/>
      <c r="C260" s="160"/>
      <c r="D260" s="161"/>
      <c r="E260" s="11"/>
      <c r="F260" s="12"/>
      <c r="G260" s="170"/>
      <c r="H260" s="171"/>
      <c r="I260" s="13"/>
      <c r="J260" s="10"/>
      <c r="K260" s="147"/>
      <c r="L260" s="149"/>
      <c r="M260" s="148"/>
      <c r="N260" s="14"/>
      <c r="O260" s="15"/>
      <c r="S260" s="13">
        <v>95.71</v>
      </c>
      <c r="U260" s="14">
        <v>363.75</v>
      </c>
    </row>
    <row r="261" spans="1:21" ht="22.5" hidden="1" customHeight="1">
      <c r="A261" s="89"/>
      <c r="B261" s="80"/>
      <c r="C261" s="160"/>
      <c r="D261" s="161"/>
      <c r="E261" s="11"/>
      <c r="F261" s="12"/>
      <c r="G261" s="147"/>
      <c r="H261" s="148"/>
      <c r="I261" s="13"/>
      <c r="J261" s="10"/>
      <c r="K261" s="147"/>
      <c r="L261" s="149"/>
      <c r="M261" s="148"/>
      <c r="N261" s="14"/>
      <c r="O261" s="15"/>
      <c r="S261" s="13">
        <v>10.11</v>
      </c>
      <c r="U261" s="14">
        <v>175.5</v>
      </c>
    </row>
    <row r="262" spans="1:21" ht="21.75" hidden="1" customHeight="1">
      <c r="A262" s="89"/>
      <c r="B262" s="80"/>
      <c r="C262" s="150"/>
      <c r="D262" s="151"/>
      <c r="E262" s="11"/>
      <c r="F262" s="12"/>
      <c r="G262" s="170"/>
      <c r="H262" s="171"/>
      <c r="I262" s="13"/>
      <c r="J262" s="10"/>
      <c r="K262" s="147"/>
      <c r="L262" s="149"/>
      <c r="M262" s="148"/>
      <c r="N262" s="14"/>
      <c r="O262" s="15"/>
      <c r="S262" s="13">
        <v>18.05</v>
      </c>
      <c r="U262" s="14">
        <v>68.61</v>
      </c>
    </row>
    <row r="263" spans="1:21" ht="24" hidden="1" customHeight="1">
      <c r="A263" s="89"/>
      <c r="B263" s="80"/>
      <c r="C263" s="160"/>
      <c r="D263" s="161"/>
      <c r="E263" s="11"/>
      <c r="F263" s="12"/>
      <c r="G263" s="170"/>
      <c r="H263" s="171"/>
      <c r="I263" s="13"/>
      <c r="J263" s="10"/>
      <c r="K263" s="147"/>
      <c r="L263" s="149"/>
      <c r="M263" s="148"/>
      <c r="N263" s="14"/>
      <c r="O263" s="15"/>
      <c r="S263" s="13">
        <v>13.64</v>
      </c>
      <c r="U263" s="14">
        <v>46.66</v>
      </c>
    </row>
    <row r="264" spans="1:21" hidden="1">
      <c r="A264" s="162"/>
      <c r="B264" s="163"/>
      <c r="C264" s="164"/>
      <c r="D264" s="165"/>
      <c r="E264" s="165"/>
      <c r="F264" s="166"/>
      <c r="G264" s="220"/>
      <c r="H264" s="221"/>
      <c r="I264" s="221"/>
      <c r="J264" s="221"/>
      <c r="K264" s="221"/>
      <c r="L264" s="221"/>
      <c r="M264" s="221"/>
      <c r="N264" s="221"/>
      <c r="O264" s="222"/>
      <c r="Q264" s="53">
        <f>G264</f>
        <v>0</v>
      </c>
    </row>
    <row r="265" spans="1:21" hidden="1">
      <c r="A265" s="88"/>
      <c r="B265" s="76"/>
      <c r="C265" s="152"/>
      <c r="D265" s="153"/>
      <c r="E265" s="7"/>
      <c r="F265" s="6"/>
      <c r="G265" s="152"/>
      <c r="H265" s="153"/>
      <c r="I265" s="8"/>
      <c r="J265" s="8"/>
      <c r="K265" s="154"/>
      <c r="L265" s="155"/>
      <c r="M265" s="156"/>
      <c r="N265" s="9"/>
      <c r="O265" s="6"/>
      <c r="S265" s="8"/>
      <c r="U265" s="19">
        <v>3722.57</v>
      </c>
    </row>
    <row r="266" spans="1:21" hidden="1">
      <c r="A266" s="89"/>
      <c r="B266" s="80"/>
      <c r="C266" s="150"/>
      <c r="D266" s="151"/>
      <c r="E266" s="11"/>
      <c r="F266" s="12"/>
      <c r="G266" s="147"/>
      <c r="H266" s="148"/>
      <c r="I266" s="13"/>
      <c r="J266" s="10"/>
      <c r="K266" s="147"/>
      <c r="L266" s="149"/>
      <c r="M266" s="148"/>
      <c r="N266" s="14"/>
      <c r="O266" s="15"/>
      <c r="S266" s="13">
        <v>36.25</v>
      </c>
      <c r="U266" s="20">
        <v>1108.97</v>
      </c>
    </row>
    <row r="267" spans="1:21" hidden="1">
      <c r="A267" s="89"/>
      <c r="B267" s="80"/>
      <c r="C267" s="150"/>
      <c r="D267" s="151"/>
      <c r="E267" s="11"/>
      <c r="F267" s="12"/>
      <c r="G267" s="147"/>
      <c r="H267" s="148"/>
      <c r="I267" s="13"/>
      <c r="J267" s="10"/>
      <c r="K267" s="147"/>
      <c r="L267" s="149"/>
      <c r="M267" s="148"/>
      <c r="N267" s="14"/>
      <c r="O267" s="15"/>
      <c r="S267" s="18">
        <v>7.24</v>
      </c>
      <c r="U267" s="14">
        <v>93.17</v>
      </c>
    </row>
    <row r="268" spans="1:21" hidden="1">
      <c r="A268" s="89"/>
      <c r="B268" s="80"/>
      <c r="C268" s="150"/>
      <c r="D268" s="151"/>
      <c r="E268" s="11"/>
      <c r="F268" s="12"/>
      <c r="G268" s="147"/>
      <c r="H268" s="148"/>
      <c r="I268" s="13"/>
      <c r="J268" s="10"/>
      <c r="K268" s="147"/>
      <c r="L268" s="149"/>
      <c r="M268" s="148"/>
      <c r="N268" s="14"/>
      <c r="O268" s="15"/>
      <c r="S268" s="13">
        <v>12.9</v>
      </c>
      <c r="U268" s="14">
        <v>298.86</v>
      </c>
    </row>
    <row r="269" spans="1:21" hidden="1">
      <c r="A269" s="89"/>
      <c r="B269" s="80"/>
      <c r="C269" s="150"/>
      <c r="D269" s="151"/>
      <c r="E269" s="11"/>
      <c r="F269" s="12"/>
      <c r="G269" s="147"/>
      <c r="H269" s="148"/>
      <c r="I269" s="13"/>
      <c r="J269" s="10"/>
      <c r="K269" s="147"/>
      <c r="L269" s="149"/>
      <c r="M269" s="148"/>
      <c r="N269" s="14"/>
      <c r="O269" s="15"/>
      <c r="S269" s="13">
        <v>34.020000000000003</v>
      </c>
      <c r="U269" s="14">
        <v>878.81</v>
      </c>
    </row>
    <row r="270" spans="1:21" ht="19.5" hidden="1" customHeight="1">
      <c r="A270" s="89"/>
      <c r="B270" s="80"/>
      <c r="C270" s="177"/>
      <c r="D270" s="178"/>
      <c r="E270" s="11"/>
      <c r="F270" s="11"/>
      <c r="G270" s="170"/>
      <c r="H270" s="171"/>
      <c r="I270" s="13"/>
      <c r="J270" s="10"/>
      <c r="K270" s="147"/>
      <c r="L270" s="149"/>
      <c r="M270" s="148"/>
      <c r="N270" s="14"/>
      <c r="O270" s="15"/>
      <c r="S270" s="13">
        <v>75.72</v>
      </c>
      <c r="U270" s="14">
        <v>191.84</v>
      </c>
    </row>
    <row r="271" spans="1:21" ht="23.25" hidden="1" customHeight="1">
      <c r="A271" s="89"/>
      <c r="B271" s="80"/>
      <c r="C271" s="177"/>
      <c r="D271" s="178"/>
      <c r="E271" s="11"/>
      <c r="F271" s="11"/>
      <c r="G271" s="170"/>
      <c r="H271" s="171"/>
      <c r="I271" s="13"/>
      <c r="J271" s="10"/>
      <c r="K271" s="147"/>
      <c r="L271" s="149"/>
      <c r="M271" s="148"/>
      <c r="N271" s="14"/>
      <c r="O271" s="15"/>
      <c r="S271" s="13">
        <v>156.4</v>
      </c>
      <c r="U271" s="14">
        <v>198.13</v>
      </c>
    </row>
    <row r="272" spans="1:21" ht="22.5" hidden="1" customHeight="1">
      <c r="A272" s="89"/>
      <c r="B272" s="80"/>
      <c r="C272" s="177"/>
      <c r="D272" s="178"/>
      <c r="E272" s="11"/>
      <c r="F272" s="11"/>
      <c r="G272" s="170"/>
      <c r="H272" s="171"/>
      <c r="I272" s="13"/>
      <c r="J272" s="10"/>
      <c r="K272" s="147"/>
      <c r="L272" s="149"/>
      <c r="M272" s="148"/>
      <c r="N272" s="14"/>
      <c r="O272" s="15"/>
      <c r="S272" s="13">
        <v>49.05</v>
      </c>
      <c r="U272" s="14">
        <v>62.14</v>
      </c>
    </row>
    <row r="273" spans="1:21" ht="24.75" hidden="1" customHeight="1">
      <c r="A273" s="89"/>
      <c r="B273" s="80"/>
      <c r="C273" s="177"/>
      <c r="D273" s="178"/>
      <c r="E273" s="11"/>
      <c r="F273" s="11"/>
      <c r="G273" s="170"/>
      <c r="H273" s="171"/>
      <c r="I273" s="13"/>
      <c r="J273" s="10"/>
      <c r="K273" s="147"/>
      <c r="L273" s="149"/>
      <c r="M273" s="148"/>
      <c r="N273" s="14"/>
      <c r="O273" s="15"/>
      <c r="S273" s="18">
        <v>9.01</v>
      </c>
      <c r="U273" s="14">
        <v>11.41</v>
      </c>
    </row>
    <row r="274" spans="1:21" hidden="1">
      <c r="A274" s="89"/>
      <c r="B274" s="80"/>
      <c r="C274" s="160"/>
      <c r="D274" s="161"/>
      <c r="E274" s="21"/>
      <c r="F274" s="12"/>
      <c r="G274" s="170"/>
      <c r="H274" s="171"/>
      <c r="I274" s="13"/>
      <c r="J274" s="10"/>
      <c r="K274" s="147"/>
      <c r="L274" s="149"/>
      <c r="M274" s="148"/>
      <c r="N274" s="14"/>
      <c r="O274" s="15"/>
      <c r="S274" s="13">
        <v>118.27</v>
      </c>
      <c r="U274" s="14">
        <v>599.28</v>
      </c>
    </row>
    <row r="275" spans="1:21" hidden="1">
      <c r="A275" s="89"/>
      <c r="B275" s="80"/>
      <c r="C275" s="150"/>
      <c r="D275" s="151"/>
      <c r="E275" s="11"/>
      <c r="F275" s="12"/>
      <c r="G275" s="170"/>
      <c r="H275" s="171"/>
      <c r="I275" s="13"/>
      <c r="J275" s="10"/>
      <c r="K275" s="147"/>
      <c r="L275" s="149"/>
      <c r="M275" s="148"/>
      <c r="N275" s="14"/>
      <c r="O275" s="15"/>
      <c r="S275" s="13">
        <v>20.63</v>
      </c>
      <c r="U275" s="14">
        <v>209.04</v>
      </c>
    </row>
    <row r="276" spans="1:21" hidden="1">
      <c r="A276" s="89"/>
      <c r="B276" s="80"/>
      <c r="C276" s="160"/>
      <c r="D276" s="161"/>
      <c r="E276" s="11"/>
      <c r="F276" s="12"/>
      <c r="G276" s="170"/>
      <c r="H276" s="171"/>
      <c r="I276" s="13"/>
      <c r="J276" s="10"/>
      <c r="K276" s="147"/>
      <c r="L276" s="149"/>
      <c r="M276" s="148"/>
      <c r="N276" s="14"/>
      <c r="O276" s="15"/>
      <c r="S276" s="13">
        <v>55.98</v>
      </c>
      <c r="U276" s="14">
        <v>70.92</v>
      </c>
    </row>
    <row r="277" spans="1:21" hidden="1">
      <c r="A277" s="88"/>
      <c r="B277" s="76"/>
      <c r="C277" s="152"/>
      <c r="D277" s="153"/>
      <c r="E277" s="16"/>
      <c r="F277" s="6"/>
      <c r="G277" s="152"/>
      <c r="H277" s="153"/>
      <c r="I277" s="6"/>
      <c r="J277" s="6"/>
      <c r="K277" s="173"/>
      <c r="L277" s="174"/>
      <c r="M277" s="175"/>
      <c r="N277" s="22"/>
      <c r="O277" s="6"/>
      <c r="S277" s="6"/>
      <c r="U277" s="22">
        <v>3763.73</v>
      </c>
    </row>
    <row r="278" spans="1:21" hidden="1">
      <c r="A278" s="89"/>
      <c r="B278" s="80"/>
      <c r="C278" s="160"/>
      <c r="D278" s="161"/>
      <c r="E278" s="11"/>
      <c r="F278" s="12"/>
      <c r="G278" s="147"/>
      <c r="H278" s="148"/>
      <c r="I278" s="13"/>
      <c r="J278" s="10"/>
      <c r="K278" s="147"/>
      <c r="L278" s="149"/>
      <c r="M278" s="148"/>
      <c r="N278" s="14"/>
      <c r="O278" s="15"/>
      <c r="S278" s="13">
        <v>14.95</v>
      </c>
      <c r="U278" s="14">
        <v>654</v>
      </c>
    </row>
    <row r="279" spans="1:21" hidden="1">
      <c r="A279" s="89"/>
      <c r="B279" s="80"/>
      <c r="C279" s="150"/>
      <c r="D279" s="151"/>
      <c r="E279" s="11"/>
      <c r="F279" s="12"/>
      <c r="G279" s="147"/>
      <c r="H279" s="148"/>
      <c r="I279" s="13"/>
      <c r="J279" s="10"/>
      <c r="K279" s="147"/>
      <c r="L279" s="149"/>
      <c r="M279" s="148"/>
      <c r="N279" s="14"/>
      <c r="O279" s="15"/>
      <c r="S279" s="18">
        <v>5.09</v>
      </c>
      <c r="U279" s="14">
        <v>92.88</v>
      </c>
    </row>
    <row r="280" spans="1:21" hidden="1">
      <c r="A280" s="89"/>
      <c r="B280" s="80"/>
      <c r="C280" s="150"/>
      <c r="D280" s="151"/>
      <c r="E280" s="11"/>
      <c r="F280" s="12"/>
      <c r="G280" s="170"/>
      <c r="H280" s="171"/>
      <c r="I280" s="13"/>
      <c r="J280" s="10"/>
      <c r="K280" s="147"/>
      <c r="L280" s="149"/>
      <c r="M280" s="148"/>
      <c r="N280" s="14"/>
      <c r="O280" s="15"/>
      <c r="S280" s="13">
        <v>540.05999999999995</v>
      </c>
      <c r="U280" s="20">
        <v>1368.3</v>
      </c>
    </row>
    <row r="281" spans="1:21" ht="24" hidden="1" customHeight="1">
      <c r="A281" s="89"/>
      <c r="B281" s="80"/>
      <c r="C281" s="150"/>
      <c r="D281" s="151"/>
      <c r="E281" s="11"/>
      <c r="F281" s="12"/>
      <c r="G281" s="147"/>
      <c r="H281" s="148"/>
      <c r="I281" s="13"/>
      <c r="J281" s="10"/>
      <c r="K281" s="147"/>
      <c r="L281" s="149"/>
      <c r="M281" s="148"/>
      <c r="N281" s="14"/>
      <c r="O281" s="15"/>
      <c r="S281" s="13">
        <v>10.26</v>
      </c>
      <c r="U281" s="14">
        <v>466.7</v>
      </c>
    </row>
    <row r="282" spans="1:21" hidden="1">
      <c r="A282" s="89"/>
      <c r="B282" s="80"/>
      <c r="C282" s="160"/>
      <c r="D282" s="161"/>
      <c r="E282" s="11"/>
      <c r="F282" s="12"/>
      <c r="G282" s="170"/>
      <c r="H282" s="171"/>
      <c r="I282" s="13"/>
      <c r="J282" s="10"/>
      <c r="K282" s="147"/>
      <c r="L282" s="149"/>
      <c r="M282" s="148"/>
      <c r="N282" s="14"/>
      <c r="O282" s="15"/>
      <c r="S282" s="13">
        <v>15.79</v>
      </c>
      <c r="U282" s="14">
        <v>40</v>
      </c>
    </row>
    <row r="283" spans="1:21" hidden="1">
      <c r="A283" s="89"/>
      <c r="B283" s="80"/>
      <c r="C283" s="150"/>
      <c r="D283" s="151"/>
      <c r="E283" s="11"/>
      <c r="F283" s="12"/>
      <c r="G283" s="170"/>
      <c r="H283" s="171"/>
      <c r="I283" s="13"/>
      <c r="J283" s="10"/>
      <c r="K283" s="147"/>
      <c r="L283" s="149"/>
      <c r="M283" s="148"/>
      <c r="N283" s="14"/>
      <c r="O283" s="15"/>
      <c r="S283" s="13">
        <v>44.76</v>
      </c>
      <c r="U283" s="14">
        <v>226.8</v>
      </c>
    </row>
    <row r="284" spans="1:21" ht="43.5" hidden="1" customHeight="1">
      <c r="A284" s="89"/>
      <c r="B284" s="80"/>
      <c r="C284" s="150"/>
      <c r="D284" s="151"/>
      <c r="E284" s="11"/>
      <c r="F284" s="12"/>
      <c r="G284" s="170"/>
      <c r="H284" s="171"/>
      <c r="I284" s="13"/>
      <c r="J284" s="10"/>
      <c r="K284" s="147"/>
      <c r="L284" s="149"/>
      <c r="M284" s="148"/>
      <c r="N284" s="14"/>
      <c r="O284" s="15"/>
      <c r="S284" s="13">
        <v>24.97</v>
      </c>
      <c r="U284" s="14">
        <v>221.41</v>
      </c>
    </row>
    <row r="285" spans="1:21" ht="35.25" hidden="1" customHeight="1">
      <c r="A285" s="89"/>
      <c r="B285" s="80"/>
      <c r="C285" s="150"/>
      <c r="D285" s="151"/>
      <c r="E285" s="11"/>
      <c r="F285" s="12"/>
      <c r="G285" s="170"/>
      <c r="H285" s="171"/>
      <c r="I285" s="13"/>
      <c r="J285" s="10"/>
      <c r="K285" s="147"/>
      <c r="L285" s="149"/>
      <c r="M285" s="148"/>
      <c r="N285" s="14"/>
      <c r="O285" s="15"/>
      <c r="S285" s="13">
        <v>61.17</v>
      </c>
      <c r="U285" s="14">
        <v>619.91999999999996</v>
      </c>
    </row>
    <row r="286" spans="1:21" ht="37.5" hidden="1" customHeight="1">
      <c r="A286" s="89"/>
      <c r="B286" s="80"/>
      <c r="C286" s="150"/>
      <c r="D286" s="151"/>
      <c r="E286" s="11"/>
      <c r="F286" s="12"/>
      <c r="G286" s="170"/>
      <c r="H286" s="171"/>
      <c r="I286" s="13"/>
      <c r="J286" s="10"/>
      <c r="K286" s="147"/>
      <c r="L286" s="149"/>
      <c r="M286" s="148"/>
      <c r="N286" s="14"/>
      <c r="O286" s="15"/>
      <c r="S286" s="13">
        <v>58.19</v>
      </c>
      <c r="U286" s="14">
        <v>73.72</v>
      </c>
    </row>
    <row r="287" spans="1:21" hidden="1">
      <c r="A287" s="88"/>
      <c r="B287" s="76"/>
      <c r="C287" s="152"/>
      <c r="D287" s="153"/>
      <c r="E287" s="16"/>
      <c r="F287" s="6"/>
      <c r="G287" s="152"/>
      <c r="H287" s="153"/>
      <c r="I287" s="6"/>
      <c r="J287" s="6"/>
      <c r="K287" s="173"/>
      <c r="L287" s="174"/>
      <c r="M287" s="175"/>
      <c r="N287" s="9"/>
      <c r="O287" s="6"/>
      <c r="S287" s="6"/>
      <c r="U287" s="22">
        <v>5525.87</v>
      </c>
    </row>
    <row r="288" spans="1:21" ht="35.25" hidden="1" customHeight="1">
      <c r="A288" s="89"/>
      <c r="B288" s="80"/>
      <c r="C288" s="150"/>
      <c r="D288" s="151"/>
      <c r="E288" s="11"/>
      <c r="F288" s="12"/>
      <c r="G288" s="170"/>
      <c r="H288" s="171"/>
      <c r="I288" s="13"/>
      <c r="J288" s="10"/>
      <c r="K288" s="147"/>
      <c r="L288" s="149"/>
      <c r="M288" s="148"/>
      <c r="N288" s="14"/>
      <c r="O288" s="15"/>
      <c r="S288" s="13">
        <v>373.44</v>
      </c>
      <c r="U288" s="14">
        <v>946.14</v>
      </c>
    </row>
    <row r="289" spans="1:21" ht="31.5" hidden="1" customHeight="1">
      <c r="A289" s="89"/>
      <c r="B289" s="80"/>
      <c r="C289" s="150"/>
      <c r="D289" s="151"/>
      <c r="E289" s="11"/>
      <c r="F289" s="12"/>
      <c r="G289" s="170"/>
      <c r="H289" s="171"/>
      <c r="I289" s="13"/>
      <c r="J289" s="10"/>
      <c r="K289" s="147"/>
      <c r="L289" s="149"/>
      <c r="M289" s="148"/>
      <c r="N289" s="14"/>
      <c r="O289" s="15"/>
      <c r="S289" s="13">
        <v>633.37</v>
      </c>
      <c r="U289" s="14">
        <v>802.35</v>
      </c>
    </row>
    <row r="290" spans="1:21" hidden="1">
      <c r="A290" s="89"/>
      <c r="B290" s="80"/>
      <c r="C290" s="160"/>
      <c r="D290" s="161"/>
      <c r="E290" s="11"/>
      <c r="F290" s="12"/>
      <c r="G290" s="170"/>
      <c r="H290" s="171"/>
      <c r="I290" s="13"/>
      <c r="J290" s="10"/>
      <c r="K290" s="147"/>
      <c r="L290" s="149"/>
      <c r="M290" s="148"/>
      <c r="N290" s="14"/>
      <c r="O290" s="15"/>
      <c r="S290" s="13">
        <v>25.12</v>
      </c>
      <c r="U290" s="14">
        <v>63.64</v>
      </c>
    </row>
    <row r="291" spans="1:21" hidden="1">
      <c r="A291" s="89"/>
      <c r="B291" s="80"/>
      <c r="C291" s="160"/>
      <c r="D291" s="161"/>
      <c r="E291" s="11"/>
      <c r="F291" s="12"/>
      <c r="G291" s="170"/>
      <c r="H291" s="171"/>
      <c r="I291" s="13"/>
      <c r="J291" s="10"/>
      <c r="K291" s="147"/>
      <c r="L291" s="149"/>
      <c r="M291" s="148"/>
      <c r="N291" s="14"/>
      <c r="O291" s="15"/>
      <c r="S291" s="13">
        <v>103.81</v>
      </c>
      <c r="U291" s="14">
        <v>131.51</v>
      </c>
    </row>
    <row r="292" spans="1:21" hidden="1">
      <c r="A292" s="89"/>
      <c r="B292" s="80"/>
      <c r="C292" s="150"/>
      <c r="D292" s="151"/>
      <c r="E292" s="11"/>
      <c r="F292" s="12"/>
      <c r="G292" s="170"/>
      <c r="H292" s="171"/>
      <c r="I292" s="13"/>
      <c r="J292" s="10"/>
      <c r="K292" s="147"/>
      <c r="L292" s="149"/>
      <c r="M292" s="148"/>
      <c r="N292" s="14"/>
      <c r="O292" s="15"/>
      <c r="S292" s="13">
        <v>265.10000000000002</v>
      </c>
      <c r="U292" s="20">
        <v>1343.32</v>
      </c>
    </row>
    <row r="293" spans="1:21" hidden="1">
      <c r="A293" s="89"/>
      <c r="B293" s="80"/>
      <c r="C293" s="150"/>
      <c r="D293" s="151"/>
      <c r="E293" s="11"/>
      <c r="F293" s="12"/>
      <c r="G293" s="170"/>
      <c r="H293" s="171"/>
      <c r="I293" s="13"/>
      <c r="J293" s="10"/>
      <c r="K293" s="147"/>
      <c r="L293" s="149"/>
      <c r="M293" s="148"/>
      <c r="N293" s="14"/>
      <c r="O293" s="23"/>
      <c r="S293" s="13">
        <v>166.49</v>
      </c>
      <c r="U293" s="14">
        <v>210.91</v>
      </c>
    </row>
    <row r="294" spans="1:21" hidden="1">
      <c r="A294" s="89"/>
      <c r="B294" s="80"/>
      <c r="C294" s="160"/>
      <c r="D294" s="161"/>
      <c r="E294" s="11"/>
      <c r="F294" s="12"/>
      <c r="G294" s="170"/>
      <c r="H294" s="171"/>
      <c r="I294" s="13"/>
      <c r="J294" s="10"/>
      <c r="K294" s="147"/>
      <c r="L294" s="149"/>
      <c r="M294" s="148"/>
      <c r="N294" s="14"/>
      <c r="O294" s="15"/>
      <c r="S294" s="13">
        <v>26.16</v>
      </c>
      <c r="U294" s="14">
        <v>66.28</v>
      </c>
    </row>
    <row r="295" spans="1:21" hidden="1">
      <c r="A295" s="89"/>
      <c r="B295" s="80"/>
      <c r="C295" s="150"/>
      <c r="D295" s="151"/>
      <c r="E295" s="11"/>
      <c r="F295" s="12"/>
      <c r="G295" s="170"/>
      <c r="H295" s="171"/>
      <c r="I295" s="13"/>
      <c r="J295" s="10"/>
      <c r="K295" s="147"/>
      <c r="L295" s="149"/>
      <c r="M295" s="148"/>
      <c r="N295" s="14"/>
      <c r="O295" s="15"/>
      <c r="S295" s="13">
        <v>26.9</v>
      </c>
      <c r="U295" s="14">
        <v>102.24</v>
      </c>
    </row>
    <row r="296" spans="1:21" hidden="1">
      <c r="A296" s="89"/>
      <c r="B296" s="80"/>
      <c r="C296" s="160"/>
      <c r="D296" s="161"/>
      <c r="E296" s="11"/>
      <c r="F296" s="12"/>
      <c r="G296" s="170"/>
      <c r="H296" s="171"/>
      <c r="I296" s="13"/>
      <c r="J296" s="10"/>
      <c r="K296" s="147"/>
      <c r="L296" s="149"/>
      <c r="M296" s="148"/>
      <c r="N296" s="14"/>
      <c r="O296" s="15"/>
      <c r="S296" s="13">
        <v>223.11</v>
      </c>
      <c r="U296" s="14">
        <v>282.64</v>
      </c>
    </row>
    <row r="297" spans="1:21" hidden="1">
      <c r="A297" s="89"/>
      <c r="B297" s="80"/>
      <c r="C297" s="160"/>
      <c r="D297" s="161"/>
      <c r="E297" s="11"/>
      <c r="F297" s="12"/>
      <c r="G297" s="170"/>
      <c r="H297" s="171"/>
      <c r="I297" s="13"/>
      <c r="J297" s="10"/>
      <c r="K297" s="147"/>
      <c r="L297" s="149"/>
      <c r="M297" s="148"/>
      <c r="N297" s="14"/>
      <c r="O297" s="15"/>
      <c r="S297" s="13">
        <v>213.72</v>
      </c>
      <c r="U297" s="14">
        <v>270.74</v>
      </c>
    </row>
    <row r="298" spans="1:21" hidden="1">
      <c r="A298" s="89"/>
      <c r="B298" s="80"/>
      <c r="C298" s="160"/>
      <c r="D298" s="161"/>
      <c r="E298" s="11"/>
      <c r="F298" s="12"/>
      <c r="G298" s="170"/>
      <c r="H298" s="171"/>
      <c r="I298" s="13"/>
      <c r="J298" s="10"/>
      <c r="K298" s="147"/>
      <c r="L298" s="149"/>
      <c r="M298" s="148"/>
      <c r="N298" s="14"/>
      <c r="O298" s="15"/>
      <c r="S298" s="13">
        <v>223.11</v>
      </c>
      <c r="U298" s="14">
        <v>282.64</v>
      </c>
    </row>
    <row r="299" spans="1:21" hidden="1">
      <c r="A299" s="89"/>
      <c r="B299" s="80"/>
      <c r="C299" s="160"/>
      <c r="D299" s="161"/>
      <c r="E299" s="11"/>
      <c r="F299" s="12"/>
      <c r="G299" s="170"/>
      <c r="H299" s="171"/>
      <c r="I299" s="13"/>
      <c r="J299" s="10"/>
      <c r="K299" s="147"/>
      <c r="L299" s="149"/>
      <c r="M299" s="148"/>
      <c r="N299" s="14"/>
      <c r="O299" s="15"/>
      <c r="S299" s="13">
        <v>98.34</v>
      </c>
      <c r="U299" s="14">
        <v>124.58</v>
      </c>
    </row>
    <row r="300" spans="1:21" ht="39.75" hidden="1" customHeight="1">
      <c r="A300" s="89"/>
      <c r="B300" s="80"/>
      <c r="C300" s="150"/>
      <c r="D300" s="151"/>
      <c r="E300" s="11"/>
      <c r="F300" s="12"/>
      <c r="G300" s="170"/>
      <c r="H300" s="171"/>
      <c r="I300" s="13"/>
      <c r="J300" s="10"/>
      <c r="K300" s="147"/>
      <c r="L300" s="149"/>
      <c r="M300" s="148"/>
      <c r="N300" s="14"/>
      <c r="O300" s="15"/>
      <c r="S300" s="13">
        <v>215.67</v>
      </c>
      <c r="U300" s="14">
        <v>273.20999999999998</v>
      </c>
    </row>
    <row r="301" spans="1:21" ht="26.25" hidden="1" customHeight="1">
      <c r="A301" s="89"/>
      <c r="B301" s="80"/>
      <c r="C301" s="150"/>
      <c r="D301" s="151"/>
      <c r="E301" s="11"/>
      <c r="F301" s="12"/>
      <c r="G301" s="170"/>
      <c r="H301" s="171"/>
      <c r="I301" s="13"/>
      <c r="J301" s="10"/>
      <c r="K301" s="147"/>
      <c r="L301" s="149"/>
      <c r="M301" s="148"/>
      <c r="N301" s="14"/>
      <c r="O301" s="15"/>
      <c r="S301" s="13">
        <v>41.58</v>
      </c>
      <c r="U301" s="14">
        <v>52.67</v>
      </c>
    </row>
    <row r="302" spans="1:21" hidden="1">
      <c r="A302" s="89"/>
      <c r="B302" s="80"/>
      <c r="C302" s="150"/>
      <c r="D302" s="151"/>
      <c r="E302" s="11"/>
      <c r="F302" s="12"/>
      <c r="G302" s="170"/>
      <c r="H302" s="171"/>
      <c r="I302" s="13"/>
      <c r="J302" s="10"/>
      <c r="K302" s="147"/>
      <c r="L302" s="149"/>
      <c r="M302" s="148"/>
      <c r="N302" s="14"/>
      <c r="O302" s="15"/>
      <c r="S302" s="13">
        <v>74.39</v>
      </c>
      <c r="U302" s="14">
        <v>282.72000000000003</v>
      </c>
    </row>
    <row r="303" spans="1:21" hidden="1">
      <c r="A303" s="89"/>
      <c r="B303" s="80"/>
      <c r="C303" s="160"/>
      <c r="D303" s="161"/>
      <c r="E303" s="11"/>
      <c r="F303" s="12"/>
      <c r="G303" s="170"/>
      <c r="H303" s="171"/>
      <c r="I303" s="13"/>
      <c r="J303" s="10"/>
      <c r="K303" s="147"/>
      <c r="L303" s="149"/>
      <c r="M303" s="148"/>
      <c r="N303" s="14"/>
      <c r="O303" s="15"/>
      <c r="S303" s="13">
        <v>76.38</v>
      </c>
      <c r="U303" s="14">
        <v>290.27999999999997</v>
      </c>
    </row>
    <row r="304" spans="1:21" hidden="1">
      <c r="A304" s="162"/>
      <c r="B304" s="163"/>
      <c r="C304" s="164"/>
      <c r="D304" s="165"/>
      <c r="E304" s="165"/>
      <c r="F304" s="166"/>
      <c r="G304" s="220"/>
      <c r="H304" s="221"/>
      <c r="I304" s="221"/>
      <c r="J304" s="221"/>
      <c r="K304" s="221"/>
      <c r="L304" s="221"/>
      <c r="M304" s="221"/>
      <c r="N304" s="221"/>
      <c r="O304" s="222"/>
      <c r="Q304" s="53">
        <f>G304</f>
        <v>0</v>
      </c>
    </row>
    <row r="305" spans="1:21" hidden="1">
      <c r="A305" s="88"/>
      <c r="B305" s="76"/>
      <c r="C305" s="152"/>
      <c r="D305" s="153"/>
      <c r="E305" s="7"/>
      <c r="F305" s="6"/>
      <c r="G305" s="152"/>
      <c r="H305" s="153"/>
      <c r="I305" s="8"/>
      <c r="J305" s="8"/>
      <c r="K305" s="154"/>
      <c r="L305" s="155"/>
      <c r="M305" s="156"/>
      <c r="N305" s="9"/>
      <c r="O305" s="6"/>
      <c r="S305" s="8"/>
      <c r="U305" s="19">
        <v>4721.6099999999997</v>
      </c>
    </row>
    <row r="306" spans="1:21" hidden="1">
      <c r="A306" s="89"/>
      <c r="B306" s="80"/>
      <c r="C306" s="160"/>
      <c r="D306" s="161"/>
      <c r="E306" s="11"/>
      <c r="F306" s="12"/>
      <c r="G306" s="170"/>
      <c r="H306" s="171"/>
      <c r="I306" s="13"/>
      <c r="J306" s="10"/>
      <c r="K306" s="147"/>
      <c r="L306" s="149"/>
      <c r="M306" s="148"/>
      <c r="N306" s="14"/>
      <c r="O306" s="15"/>
      <c r="S306" s="13">
        <v>533.95000000000005</v>
      </c>
      <c r="U306" s="20">
        <v>1521.92</v>
      </c>
    </row>
    <row r="307" spans="1:21" hidden="1">
      <c r="A307" s="89"/>
      <c r="B307" s="80"/>
      <c r="C307" s="150"/>
      <c r="D307" s="151"/>
      <c r="E307" s="21"/>
      <c r="F307" s="12"/>
      <c r="G307" s="170"/>
      <c r="H307" s="171"/>
      <c r="I307" s="13"/>
      <c r="J307" s="10"/>
      <c r="K307" s="147"/>
      <c r="L307" s="149"/>
      <c r="M307" s="148"/>
      <c r="N307" s="14"/>
      <c r="O307" s="15"/>
      <c r="S307" s="13">
        <v>555.58000000000004</v>
      </c>
      <c r="U307" s="20">
        <v>2498.5300000000002</v>
      </c>
    </row>
    <row r="308" spans="1:21" hidden="1">
      <c r="A308" s="89"/>
      <c r="B308" s="80"/>
      <c r="C308" s="150"/>
      <c r="D308" s="151"/>
      <c r="E308" s="11"/>
      <c r="F308" s="12"/>
      <c r="G308" s="170"/>
      <c r="H308" s="171"/>
      <c r="I308" s="13"/>
      <c r="J308" s="10"/>
      <c r="K308" s="147"/>
      <c r="L308" s="149"/>
      <c r="M308" s="148"/>
      <c r="N308" s="14"/>
      <c r="O308" s="15"/>
      <c r="S308" s="13">
        <v>184.5</v>
      </c>
      <c r="U308" s="14">
        <v>701.16</v>
      </c>
    </row>
    <row r="309" spans="1:21" hidden="1">
      <c r="A309" s="162"/>
      <c r="B309" s="163"/>
      <c r="C309" s="164"/>
      <c r="D309" s="165"/>
      <c r="E309" s="165"/>
      <c r="F309" s="166"/>
      <c r="G309" s="220"/>
      <c r="H309" s="221"/>
      <c r="I309" s="221"/>
      <c r="J309" s="221"/>
      <c r="K309" s="221"/>
      <c r="L309" s="221"/>
      <c r="M309" s="221"/>
      <c r="N309" s="221"/>
      <c r="O309" s="222"/>
      <c r="Q309" s="53">
        <f>G309</f>
        <v>0</v>
      </c>
    </row>
    <row r="310" spans="1:21" hidden="1">
      <c r="A310" s="88"/>
      <c r="B310" s="76"/>
      <c r="C310" s="152"/>
      <c r="D310" s="153"/>
      <c r="E310" s="7"/>
      <c r="F310" s="6"/>
      <c r="G310" s="152"/>
      <c r="H310" s="153"/>
      <c r="I310" s="8"/>
      <c r="J310" s="8"/>
      <c r="K310" s="154"/>
      <c r="L310" s="155"/>
      <c r="M310" s="156"/>
      <c r="N310" s="9"/>
      <c r="O310" s="6"/>
      <c r="S310" s="8"/>
      <c r="U310" s="19">
        <v>8586.01</v>
      </c>
    </row>
    <row r="311" spans="1:21" hidden="1">
      <c r="A311" s="89"/>
      <c r="B311" s="80"/>
      <c r="C311" s="150"/>
      <c r="D311" s="151"/>
      <c r="E311" s="11"/>
      <c r="F311" s="12"/>
      <c r="G311" s="147"/>
      <c r="H311" s="148"/>
      <c r="I311" s="13"/>
      <c r="J311" s="10"/>
      <c r="K311" s="147"/>
      <c r="L311" s="149"/>
      <c r="M311" s="148"/>
      <c r="N311" s="14"/>
      <c r="O311" s="15"/>
      <c r="S311" s="18">
        <v>2.14</v>
      </c>
      <c r="U311" s="14">
        <v>345.96</v>
      </c>
    </row>
    <row r="312" spans="1:21" hidden="1">
      <c r="A312" s="89"/>
      <c r="B312" s="80"/>
      <c r="C312" s="150"/>
      <c r="D312" s="151"/>
      <c r="E312" s="11"/>
      <c r="F312" s="12"/>
      <c r="G312" s="147"/>
      <c r="H312" s="148"/>
      <c r="I312" s="13"/>
      <c r="J312" s="10"/>
      <c r="K312" s="147"/>
      <c r="L312" s="149"/>
      <c r="M312" s="148"/>
      <c r="N312" s="14"/>
      <c r="O312" s="15"/>
      <c r="S312" s="18">
        <v>2.4500000000000002</v>
      </c>
      <c r="U312" s="14">
        <v>185.13</v>
      </c>
    </row>
    <row r="313" spans="1:21" hidden="1">
      <c r="A313" s="89"/>
      <c r="B313" s="80"/>
      <c r="C313" s="160"/>
      <c r="D313" s="161"/>
      <c r="E313" s="11"/>
      <c r="F313" s="12"/>
      <c r="G313" s="147"/>
      <c r="H313" s="148"/>
      <c r="I313" s="13"/>
      <c r="J313" s="10"/>
      <c r="K313" s="147"/>
      <c r="L313" s="149"/>
      <c r="M313" s="148"/>
      <c r="N313" s="14"/>
      <c r="O313" s="15"/>
      <c r="S313" s="13">
        <v>11.14</v>
      </c>
      <c r="U313" s="20">
        <v>1801.28</v>
      </c>
    </row>
    <row r="314" spans="1:21" hidden="1">
      <c r="A314" s="89"/>
      <c r="B314" s="80"/>
      <c r="C314" s="160"/>
      <c r="D314" s="161"/>
      <c r="E314" s="11"/>
      <c r="F314" s="12"/>
      <c r="G314" s="147"/>
      <c r="H314" s="148"/>
      <c r="I314" s="13"/>
      <c r="J314" s="10"/>
      <c r="K314" s="147"/>
      <c r="L314" s="149"/>
      <c r="M314" s="148"/>
      <c r="N314" s="14"/>
      <c r="O314" s="15"/>
      <c r="S314" s="13">
        <v>18.690000000000001</v>
      </c>
      <c r="U314" s="20">
        <v>1414.17</v>
      </c>
    </row>
    <row r="315" spans="1:21" hidden="1">
      <c r="A315" s="89"/>
      <c r="B315" s="80"/>
      <c r="C315" s="150"/>
      <c r="D315" s="151"/>
      <c r="E315" s="11"/>
      <c r="F315" s="12"/>
      <c r="G315" s="147"/>
      <c r="H315" s="148"/>
      <c r="I315" s="13"/>
      <c r="J315" s="10"/>
      <c r="K315" s="147"/>
      <c r="L315" s="149"/>
      <c r="M315" s="148"/>
      <c r="N315" s="14"/>
      <c r="O315" s="15"/>
      <c r="S315" s="13">
        <v>10.32</v>
      </c>
      <c r="U315" s="20">
        <v>1527.1</v>
      </c>
    </row>
    <row r="316" spans="1:21" hidden="1">
      <c r="A316" s="89"/>
      <c r="B316" s="80"/>
      <c r="C316" s="160"/>
      <c r="D316" s="161"/>
      <c r="E316" s="11"/>
      <c r="F316" s="12"/>
      <c r="G316" s="147"/>
      <c r="H316" s="148"/>
      <c r="I316" s="13"/>
      <c r="J316" s="10"/>
      <c r="K316" s="147"/>
      <c r="L316" s="149"/>
      <c r="M316" s="148"/>
      <c r="N316" s="14"/>
      <c r="O316" s="15"/>
      <c r="S316" s="13">
        <v>13.98</v>
      </c>
      <c r="U316" s="14">
        <v>191.62</v>
      </c>
    </row>
    <row r="317" spans="1:21" ht="21.75" hidden="1" customHeight="1">
      <c r="A317" s="89"/>
      <c r="B317" s="80"/>
      <c r="C317" s="150"/>
      <c r="D317" s="151"/>
      <c r="E317" s="11"/>
      <c r="F317" s="12"/>
      <c r="G317" s="147"/>
      <c r="H317" s="148"/>
      <c r="I317" s="13"/>
      <c r="J317" s="10"/>
      <c r="K317" s="147"/>
      <c r="L317" s="149"/>
      <c r="M317" s="148"/>
      <c r="N317" s="14"/>
      <c r="O317" s="15"/>
      <c r="S317" s="13">
        <v>11.71</v>
      </c>
      <c r="U317" s="14">
        <v>885.65</v>
      </c>
    </row>
    <row r="318" spans="1:21" ht="23.25" hidden="1" customHeight="1">
      <c r="A318" s="89"/>
      <c r="B318" s="80"/>
      <c r="C318" s="160"/>
      <c r="D318" s="161"/>
      <c r="E318" s="11"/>
      <c r="F318" s="12"/>
      <c r="G318" s="147"/>
      <c r="H318" s="148"/>
      <c r="I318" s="13"/>
      <c r="J318" s="10"/>
      <c r="K318" s="147"/>
      <c r="L318" s="149"/>
      <c r="M318" s="148"/>
      <c r="N318" s="14"/>
      <c r="O318" s="15"/>
      <c r="S318" s="13">
        <v>21.8</v>
      </c>
      <c r="U318" s="20">
        <v>1667.14</v>
      </c>
    </row>
    <row r="319" spans="1:21" hidden="1">
      <c r="A319" s="89"/>
      <c r="B319" s="80"/>
      <c r="C319" s="160"/>
      <c r="D319" s="161"/>
      <c r="E319" s="11"/>
      <c r="F319" s="12"/>
      <c r="G319" s="147"/>
      <c r="H319" s="148"/>
      <c r="I319" s="13"/>
      <c r="J319" s="10"/>
      <c r="K319" s="147"/>
      <c r="L319" s="149"/>
      <c r="M319" s="148"/>
      <c r="N319" s="14"/>
      <c r="O319" s="15"/>
      <c r="S319" s="13">
        <v>23.55</v>
      </c>
      <c r="U319" s="14">
        <v>567.96</v>
      </c>
    </row>
    <row r="320" spans="1:21" hidden="1">
      <c r="A320" s="162"/>
      <c r="B320" s="163"/>
      <c r="C320" s="164"/>
      <c r="D320" s="165"/>
      <c r="E320" s="165"/>
      <c r="F320" s="166"/>
      <c r="G320" s="220"/>
      <c r="H320" s="221"/>
      <c r="I320" s="221"/>
      <c r="J320" s="221"/>
      <c r="K320" s="221"/>
      <c r="L320" s="221"/>
      <c r="M320" s="221"/>
      <c r="N320" s="221"/>
      <c r="O320" s="222"/>
      <c r="Q320" s="53">
        <f>G320</f>
        <v>0</v>
      </c>
    </row>
    <row r="321" spans="1:21" hidden="1">
      <c r="A321" s="88"/>
      <c r="B321" s="76"/>
      <c r="C321" s="152"/>
      <c r="D321" s="153"/>
      <c r="E321" s="7"/>
      <c r="F321" s="6"/>
      <c r="G321" s="152"/>
      <c r="H321" s="153"/>
      <c r="I321" s="8"/>
      <c r="J321" s="8"/>
      <c r="K321" s="154"/>
      <c r="L321" s="155"/>
      <c r="M321" s="156"/>
      <c r="N321" s="9"/>
      <c r="O321" s="6"/>
      <c r="S321" s="8"/>
      <c r="U321" s="19">
        <v>2238.39</v>
      </c>
    </row>
    <row r="322" spans="1:21" hidden="1">
      <c r="A322" s="89"/>
      <c r="B322" s="80"/>
      <c r="C322" s="160"/>
      <c r="D322" s="161"/>
      <c r="E322" s="11"/>
      <c r="F322" s="12"/>
      <c r="G322" s="170"/>
      <c r="H322" s="171"/>
      <c r="I322" s="13"/>
      <c r="J322" s="10"/>
      <c r="K322" s="147"/>
      <c r="L322" s="149"/>
      <c r="M322" s="148"/>
      <c r="N322" s="14"/>
      <c r="O322" s="15"/>
      <c r="S322" s="13">
        <v>594.66</v>
      </c>
      <c r="U322" s="14">
        <v>753.32</v>
      </c>
    </row>
    <row r="323" spans="1:21" ht="23.25" hidden="1" customHeight="1">
      <c r="A323" s="89"/>
      <c r="B323" s="80"/>
      <c r="C323" s="160"/>
      <c r="D323" s="161"/>
      <c r="E323" s="11"/>
      <c r="F323" s="12"/>
      <c r="G323" s="170"/>
      <c r="H323" s="171"/>
      <c r="I323" s="13"/>
      <c r="J323" s="10"/>
      <c r="K323" s="147"/>
      <c r="L323" s="149"/>
      <c r="M323" s="148"/>
      <c r="N323" s="14"/>
      <c r="O323" s="15"/>
      <c r="S323" s="13">
        <v>147.22</v>
      </c>
      <c r="U323" s="14">
        <v>186.5</v>
      </c>
    </row>
    <row r="324" spans="1:21" ht="25.5" hidden="1" customHeight="1">
      <c r="A324" s="89"/>
      <c r="B324" s="80"/>
      <c r="C324" s="150"/>
      <c r="D324" s="151"/>
      <c r="E324" s="11"/>
      <c r="F324" s="12"/>
      <c r="G324" s="170"/>
      <c r="H324" s="171"/>
      <c r="I324" s="13"/>
      <c r="J324" s="10"/>
      <c r="K324" s="147"/>
      <c r="L324" s="149"/>
      <c r="M324" s="148"/>
      <c r="N324" s="14"/>
      <c r="O324" s="15"/>
      <c r="S324" s="13">
        <v>165.97</v>
      </c>
      <c r="U324" s="14">
        <v>210.25</v>
      </c>
    </row>
    <row r="325" spans="1:21" ht="22.5" hidden="1" customHeight="1">
      <c r="A325" s="89"/>
      <c r="B325" s="80"/>
      <c r="C325" s="177"/>
      <c r="D325" s="178"/>
      <c r="E325" s="11"/>
      <c r="F325" s="11"/>
      <c r="G325" s="147"/>
      <c r="H325" s="148"/>
      <c r="I325" s="13"/>
      <c r="J325" s="10"/>
      <c r="K325" s="147"/>
      <c r="L325" s="149"/>
      <c r="M325" s="148"/>
      <c r="N325" s="14"/>
      <c r="O325" s="15"/>
      <c r="S325" s="13">
        <v>45.22</v>
      </c>
      <c r="U325" s="20">
        <v>1088.32</v>
      </c>
    </row>
    <row r="326" spans="1:21">
      <c r="A326" s="162">
        <v>13</v>
      </c>
      <c r="B326" s="163"/>
      <c r="C326" s="164" t="s">
        <v>188</v>
      </c>
      <c r="D326" s="165"/>
      <c r="E326" s="165"/>
      <c r="F326" s="166"/>
      <c r="G326" s="220">
        <f>N328</f>
        <v>535.99939400000005</v>
      </c>
      <c r="H326" s="221"/>
      <c r="I326" s="221"/>
      <c r="J326" s="221"/>
      <c r="K326" s="221"/>
      <c r="L326" s="221"/>
      <c r="M326" s="221"/>
      <c r="N326" s="221"/>
      <c r="O326" s="222"/>
      <c r="Q326" s="53">
        <f>G326</f>
        <v>535.99939400000005</v>
      </c>
    </row>
    <row r="327" spans="1:21">
      <c r="A327" s="88">
        <v>131</v>
      </c>
      <c r="B327" s="76"/>
      <c r="C327" s="152"/>
      <c r="D327" s="153"/>
      <c r="E327" s="7" t="s">
        <v>189</v>
      </c>
      <c r="F327" s="6"/>
      <c r="G327" s="152"/>
      <c r="H327" s="153"/>
      <c r="I327" s="8"/>
      <c r="J327" s="8"/>
      <c r="K327" s="154"/>
      <c r="L327" s="155"/>
      <c r="M327" s="156"/>
      <c r="N327" s="9">
        <f>N328</f>
        <v>535.99939400000005</v>
      </c>
      <c r="O327" s="6"/>
      <c r="S327" s="8"/>
      <c r="U327" s="9">
        <v>345.18</v>
      </c>
    </row>
    <row r="328" spans="1:21" ht="18">
      <c r="A328" s="128">
        <v>1311</v>
      </c>
      <c r="B328" s="121" t="s">
        <v>36</v>
      </c>
      <c r="C328" s="247" t="s">
        <v>190</v>
      </c>
      <c r="D328" s="248"/>
      <c r="E328" s="122" t="s">
        <v>191</v>
      </c>
      <c r="F328" s="123" t="s">
        <v>35</v>
      </c>
      <c r="G328" s="249">
        <v>87.75</v>
      </c>
      <c r="H328" s="250"/>
      <c r="I328" s="124">
        <v>4.82</v>
      </c>
      <c r="J328" s="125" t="s">
        <v>29</v>
      </c>
      <c r="K328" s="249">
        <f t="shared" ref="K328" si="93">I328*$R$7</f>
        <v>6.1059760000000001</v>
      </c>
      <c r="L328" s="251"/>
      <c r="M328" s="250"/>
      <c r="N328" s="126">
        <f>G328*K328+0.2</f>
        <v>535.99939400000005</v>
      </c>
      <c r="O328" s="127" t="s">
        <v>30</v>
      </c>
      <c r="S328" s="28">
        <v>4.5599999999999996</v>
      </c>
      <c r="U328" s="27">
        <v>345.18</v>
      </c>
    </row>
    <row r="329" spans="1:21">
      <c r="A329" s="129" t="s">
        <v>53</v>
      </c>
    </row>
    <row r="330" spans="1:21" hidden="1">
      <c r="A330" s="228"/>
      <c r="B330" s="228"/>
      <c r="C330" s="228"/>
      <c r="D330" s="228"/>
      <c r="E330" s="228"/>
      <c r="F330" s="228"/>
      <c r="G330" s="228"/>
      <c r="H330" s="228"/>
      <c r="I330" s="228"/>
      <c r="J330" s="228"/>
      <c r="K330" s="228"/>
      <c r="L330" s="55"/>
      <c r="M330" s="55"/>
      <c r="N330" s="55"/>
    </row>
    <row r="331" spans="1:21" ht="4.5" hidden="1" customHeight="1">
      <c r="A331" s="92"/>
    </row>
    <row r="332" spans="1:21" ht="18" hidden="1">
      <c r="A332" s="252"/>
      <c r="B332" s="252"/>
      <c r="C332" s="32"/>
      <c r="D332" s="252"/>
      <c r="E332" s="252"/>
      <c r="F332" s="252"/>
      <c r="G332" s="252"/>
      <c r="H332" s="252"/>
      <c r="I332" s="252"/>
      <c r="J332" s="252"/>
      <c r="K332" s="252"/>
      <c r="L332" s="252"/>
      <c r="M332" s="252"/>
      <c r="N332" s="32"/>
      <c r="Q332">
        <v>1.1958</v>
      </c>
      <c r="U332" s="34" t="s">
        <v>201</v>
      </c>
    </row>
    <row r="333" spans="1:21" ht="36.75" hidden="1" customHeight="1">
      <c r="A333" s="244"/>
      <c r="B333" s="245"/>
      <c r="C333" s="245"/>
      <c r="D333" s="245"/>
      <c r="E333" s="245"/>
      <c r="F333" s="245"/>
      <c r="G333" s="245"/>
      <c r="H333" s="245"/>
      <c r="I333" s="245"/>
      <c r="J333" s="245"/>
      <c r="K333" s="245"/>
      <c r="L333" s="245"/>
      <c r="M333" s="245"/>
      <c r="N333" s="246"/>
      <c r="O333" s="33"/>
    </row>
    <row r="334" spans="1:21" hidden="1">
      <c r="A334" s="162"/>
      <c r="B334" s="163"/>
      <c r="C334" s="164"/>
      <c r="D334" s="165"/>
      <c r="E334" s="165"/>
      <c r="F334" s="166"/>
      <c r="G334" s="172"/>
      <c r="H334" s="168"/>
      <c r="I334" s="168"/>
      <c r="J334" s="168"/>
      <c r="K334" s="168"/>
      <c r="L334" s="168"/>
      <c r="M334" s="168"/>
      <c r="N334" s="168"/>
      <c r="O334" s="169"/>
    </row>
    <row r="335" spans="1:21" hidden="1">
      <c r="A335" s="88"/>
      <c r="B335" s="76"/>
      <c r="C335" s="152"/>
      <c r="D335" s="153"/>
      <c r="E335" s="7"/>
      <c r="F335" s="6"/>
      <c r="G335" s="152"/>
      <c r="H335" s="153"/>
      <c r="I335" s="8"/>
      <c r="J335" s="8"/>
      <c r="K335" s="154"/>
      <c r="L335" s="156"/>
      <c r="M335" s="235"/>
      <c r="N335" s="236"/>
      <c r="O335" s="6"/>
      <c r="S335" s="8"/>
    </row>
    <row r="336" spans="1:21" hidden="1">
      <c r="A336" s="89"/>
      <c r="B336" s="80"/>
      <c r="C336" s="150"/>
      <c r="D336" s="151"/>
      <c r="E336" s="11"/>
      <c r="F336" s="12"/>
      <c r="G336" s="170"/>
      <c r="H336" s="171"/>
      <c r="I336" s="13"/>
      <c r="J336" s="10"/>
      <c r="K336" s="237"/>
      <c r="L336" s="238"/>
      <c r="M336" s="39"/>
      <c r="N336" s="14"/>
      <c r="O336" s="15"/>
      <c r="S336" s="35">
        <v>1547.4</v>
      </c>
      <c r="U336" s="38">
        <v>3700.76</v>
      </c>
    </row>
    <row r="337" spans="1:23" hidden="1">
      <c r="A337" s="89"/>
      <c r="B337" s="87"/>
      <c r="C337" s="239"/>
      <c r="D337" s="240"/>
      <c r="E337" s="25"/>
      <c r="F337" s="26"/>
      <c r="G337" s="241"/>
      <c r="H337" s="242"/>
      <c r="I337" s="13"/>
      <c r="J337" s="24"/>
      <c r="K337" s="237"/>
      <c r="L337" s="238"/>
      <c r="M337" s="40"/>
      <c r="N337" s="14"/>
      <c r="O337" s="15"/>
      <c r="S337" s="36">
        <v>1349.34</v>
      </c>
      <c r="U337" s="40">
        <v>1613.54</v>
      </c>
    </row>
    <row r="338" spans="1:23" hidden="1">
      <c r="A338" s="89"/>
      <c r="B338" s="42"/>
      <c r="C338" s="43"/>
      <c r="D338" s="43"/>
      <c r="E338" s="44"/>
      <c r="F338" s="45"/>
      <c r="G338" s="46"/>
      <c r="H338" s="46"/>
      <c r="I338" s="47"/>
      <c r="J338" s="42"/>
      <c r="K338" s="48"/>
      <c r="L338" s="48"/>
      <c r="M338" s="41"/>
      <c r="N338" s="49"/>
      <c r="O338" s="50"/>
      <c r="S338" s="51"/>
      <c r="U338" s="41"/>
    </row>
    <row r="339" spans="1:23" s="54" customFormat="1" ht="15.75" hidden="1">
      <c r="A339" s="229"/>
      <c r="B339" s="230"/>
      <c r="C339" s="230"/>
      <c r="D339" s="230"/>
      <c r="E339" s="230"/>
      <c r="F339" s="230"/>
      <c r="G339" s="230"/>
      <c r="H339" s="230"/>
      <c r="I339" s="230"/>
      <c r="J339" s="231"/>
      <c r="K339" s="232"/>
      <c r="L339" s="233"/>
      <c r="M339" s="233"/>
      <c r="N339" s="233"/>
      <c r="O339" s="234"/>
      <c r="P339" s="55"/>
      <c r="Q339" s="55"/>
      <c r="R339" s="55"/>
      <c r="S339" s="56"/>
      <c r="T339" s="55"/>
      <c r="U339" s="57"/>
      <c r="V339" s="55"/>
      <c r="W339" s="55"/>
    </row>
    <row r="340" spans="1:23" hidden="1">
      <c r="A340" s="66"/>
    </row>
    <row r="341" spans="1:23">
      <c r="A341" s="225"/>
      <c r="B341" s="225"/>
      <c r="C341" s="225"/>
      <c r="D341" s="225"/>
      <c r="E341" s="225"/>
      <c r="F341" s="225"/>
      <c r="G341" s="225"/>
      <c r="H341" s="225"/>
      <c r="I341" s="225"/>
      <c r="J341" s="225"/>
      <c r="K341" s="225"/>
    </row>
    <row r="342" spans="1:23">
      <c r="A342" s="110"/>
      <c r="E342" t="s">
        <v>202</v>
      </c>
      <c r="I342" s="159" t="s">
        <v>203</v>
      </c>
      <c r="J342" s="159"/>
      <c r="K342" s="159"/>
      <c r="L342" s="159"/>
      <c r="M342" s="159"/>
      <c r="N342" s="159"/>
    </row>
    <row r="343" spans="1:23">
      <c r="A343" s="110"/>
      <c r="E343" s="75" t="s">
        <v>248</v>
      </c>
      <c r="I343" s="243" t="s">
        <v>230</v>
      </c>
      <c r="J343" s="159"/>
      <c r="K343" s="159"/>
      <c r="L343" s="159"/>
      <c r="M343" s="159"/>
      <c r="N343" s="159"/>
    </row>
    <row r="344" spans="1:23">
      <c r="A344" s="110"/>
      <c r="E344" s="77" t="s">
        <v>249</v>
      </c>
      <c r="I344" s="243" t="s">
        <v>252</v>
      </c>
      <c r="J344" s="159"/>
      <c r="K344" s="159"/>
      <c r="L344" s="159"/>
      <c r="M344" s="159"/>
      <c r="N344" s="159"/>
    </row>
    <row r="345" spans="1:23">
      <c r="A345" s="228"/>
      <c r="B345" s="228"/>
      <c r="C345" s="228"/>
      <c r="D345" s="228"/>
      <c r="E345" s="228"/>
      <c r="F345" s="58"/>
      <c r="G345" s="58"/>
      <c r="H345" s="58"/>
      <c r="I345" s="58"/>
      <c r="J345" s="58"/>
      <c r="K345" s="58"/>
      <c r="L345" s="58"/>
      <c r="M345" s="58"/>
      <c r="N345" s="58"/>
    </row>
    <row r="346" spans="1:23">
      <c r="A346" s="226"/>
      <c r="B346" s="226"/>
      <c r="C346" s="226"/>
      <c r="D346" s="226"/>
      <c r="E346" s="226"/>
      <c r="F346" s="226"/>
      <c r="G346" s="226"/>
      <c r="H346" s="226"/>
      <c r="I346" s="226"/>
      <c r="J346" s="226"/>
      <c r="K346" s="226"/>
      <c r="L346" s="226"/>
      <c r="M346" s="226"/>
      <c r="N346" s="226"/>
    </row>
    <row r="347" spans="1:23">
      <c r="A347" s="227"/>
      <c r="B347" s="227"/>
      <c r="C347" s="227"/>
      <c r="D347" s="227"/>
      <c r="E347" s="227"/>
      <c r="F347" s="227"/>
      <c r="G347" s="227"/>
      <c r="H347" s="227"/>
      <c r="I347" s="227"/>
      <c r="J347" s="227"/>
      <c r="K347" s="227"/>
      <c r="L347" s="227"/>
      <c r="M347" s="227"/>
      <c r="N347" s="227"/>
    </row>
    <row r="348" spans="1:23">
      <c r="A348" s="228"/>
      <c r="B348" s="228"/>
      <c r="C348" s="228"/>
      <c r="D348" s="228"/>
      <c r="E348" s="228"/>
      <c r="F348" s="228"/>
      <c r="G348" s="228"/>
      <c r="H348" s="228"/>
      <c r="I348" s="228"/>
      <c r="J348" s="228"/>
      <c r="K348" s="228"/>
      <c r="L348" s="228"/>
      <c r="M348" s="228"/>
      <c r="N348" s="228"/>
    </row>
    <row r="349" spans="1:23">
      <c r="A349" s="111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</row>
    <row r="350" spans="1:23">
      <c r="A350" s="55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</row>
    <row r="351" spans="1:23">
      <c r="A351" s="112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</row>
    <row r="352" spans="1:23">
      <c r="A352" s="111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</row>
    <row r="353" spans="1:14">
      <c r="A353" s="55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</row>
    <row r="354" spans="1:14">
      <c r="A354" s="55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</row>
    <row r="355" spans="1:14">
      <c r="A355" s="111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</row>
    <row r="356" spans="1:14">
      <c r="A356"/>
    </row>
    <row r="357" spans="1:14">
      <c r="A357"/>
    </row>
    <row r="358" spans="1:14">
      <c r="A358"/>
    </row>
    <row r="359" spans="1:14">
      <c r="A359"/>
    </row>
    <row r="360" spans="1:14">
      <c r="A360"/>
    </row>
    <row r="361" spans="1:14">
      <c r="A361"/>
    </row>
    <row r="362" spans="1:14">
      <c r="A362"/>
    </row>
    <row r="363" spans="1:14">
      <c r="A363"/>
    </row>
    <row r="364" spans="1:14">
      <c r="A364"/>
    </row>
    <row r="365" spans="1:14">
      <c r="A365"/>
    </row>
    <row r="366" spans="1:14">
      <c r="A366"/>
    </row>
    <row r="367" spans="1:14">
      <c r="A367"/>
    </row>
    <row r="368" spans="1:14">
      <c r="A368"/>
    </row>
    <row r="369" spans="1:1">
      <c r="A369"/>
    </row>
    <row r="370" spans="1:1">
      <c r="A370"/>
    </row>
    <row r="371" spans="1:1">
      <c r="A371"/>
    </row>
    <row r="372" spans="1:1">
      <c r="A372"/>
    </row>
    <row r="373" spans="1:1">
      <c r="A373"/>
    </row>
    <row r="374" spans="1:1">
      <c r="A374"/>
    </row>
    <row r="375" spans="1:1">
      <c r="A375"/>
    </row>
    <row r="376" spans="1:1">
      <c r="A376"/>
    </row>
    <row r="377" spans="1:1">
      <c r="A377"/>
    </row>
    <row r="378" spans="1:1">
      <c r="A378"/>
    </row>
    <row r="379" spans="1:1">
      <c r="A379"/>
    </row>
    <row r="380" spans="1:1">
      <c r="A380"/>
    </row>
    <row r="381" spans="1:1">
      <c r="A381"/>
    </row>
    <row r="382" spans="1:1">
      <c r="A382"/>
    </row>
    <row r="383" spans="1:1">
      <c r="A383"/>
    </row>
    <row r="384" spans="1:1">
      <c r="A384"/>
    </row>
    <row r="385" spans="1:1">
      <c r="A385"/>
    </row>
    <row r="386" spans="1:1">
      <c r="A386"/>
    </row>
    <row r="387" spans="1:1">
      <c r="A387"/>
    </row>
    <row r="388" spans="1:1">
      <c r="A388"/>
    </row>
    <row r="389" spans="1:1">
      <c r="A389"/>
    </row>
    <row r="390" spans="1:1">
      <c r="A390"/>
    </row>
    <row r="391" spans="1:1">
      <c r="A391"/>
    </row>
    <row r="392" spans="1:1">
      <c r="A392"/>
    </row>
    <row r="393" spans="1:1">
      <c r="A393"/>
    </row>
    <row r="394" spans="1:1">
      <c r="A394"/>
    </row>
    <row r="395" spans="1:1">
      <c r="A395"/>
    </row>
    <row r="396" spans="1:1">
      <c r="A396"/>
    </row>
    <row r="397" spans="1:1">
      <c r="A397"/>
    </row>
    <row r="398" spans="1:1">
      <c r="A398"/>
    </row>
    <row r="399" spans="1:1">
      <c r="A399"/>
    </row>
    <row r="400" spans="1:1">
      <c r="A400"/>
    </row>
    <row r="401" spans="1:1">
      <c r="A401"/>
    </row>
    <row r="402" spans="1:1">
      <c r="A402"/>
    </row>
    <row r="403" spans="1:1">
      <c r="A403"/>
    </row>
    <row r="404" spans="1:1">
      <c r="A404"/>
    </row>
    <row r="405" spans="1:1">
      <c r="A405"/>
    </row>
    <row r="406" spans="1:1">
      <c r="A406"/>
    </row>
    <row r="407" spans="1:1">
      <c r="A407"/>
    </row>
    <row r="408" spans="1:1">
      <c r="A408"/>
    </row>
    <row r="409" spans="1:1">
      <c r="A409"/>
    </row>
    <row r="410" spans="1:1">
      <c r="A410"/>
    </row>
    <row r="411" spans="1:1">
      <c r="A411"/>
    </row>
    <row r="412" spans="1:1">
      <c r="A412"/>
    </row>
    <row r="413" spans="1:1">
      <c r="A413"/>
    </row>
    <row r="414" spans="1:1">
      <c r="A414"/>
    </row>
    <row r="415" spans="1:1">
      <c r="A415"/>
    </row>
    <row r="416" spans="1:1">
      <c r="A416"/>
    </row>
    <row r="417" spans="1:1">
      <c r="A417"/>
    </row>
    <row r="418" spans="1:1">
      <c r="A418"/>
    </row>
    <row r="419" spans="1:1">
      <c r="A419"/>
    </row>
    <row r="420" spans="1:1">
      <c r="A420"/>
    </row>
    <row r="421" spans="1:1">
      <c r="A421"/>
    </row>
    <row r="422" spans="1:1">
      <c r="A422"/>
    </row>
    <row r="423" spans="1:1">
      <c r="A423"/>
    </row>
    <row r="424" spans="1:1">
      <c r="A424"/>
    </row>
    <row r="425" spans="1:1">
      <c r="A425"/>
    </row>
    <row r="426" spans="1:1">
      <c r="A426"/>
    </row>
    <row r="427" spans="1:1">
      <c r="A427"/>
    </row>
    <row r="428" spans="1:1">
      <c r="A428"/>
    </row>
    <row r="429" spans="1:1">
      <c r="A429"/>
    </row>
    <row r="430" spans="1:1">
      <c r="A430"/>
    </row>
    <row r="431" spans="1:1">
      <c r="A431"/>
    </row>
    <row r="432" spans="1:1">
      <c r="A432"/>
    </row>
    <row r="433" spans="1:1">
      <c r="A433"/>
    </row>
    <row r="434" spans="1:1">
      <c r="A434"/>
    </row>
    <row r="435" spans="1:1">
      <c r="A435"/>
    </row>
    <row r="436" spans="1:1">
      <c r="A436"/>
    </row>
    <row r="437" spans="1:1">
      <c r="A437"/>
    </row>
    <row r="438" spans="1:1">
      <c r="A438"/>
    </row>
    <row r="439" spans="1:1">
      <c r="A439"/>
    </row>
    <row r="440" spans="1:1">
      <c r="A440"/>
    </row>
    <row r="441" spans="1:1">
      <c r="A441"/>
    </row>
  </sheetData>
  <mergeCells count="1001">
    <mergeCell ref="A333:N333"/>
    <mergeCell ref="A334:B334"/>
    <mergeCell ref="C334:F334"/>
    <mergeCell ref="G334:O334"/>
    <mergeCell ref="C327:D327"/>
    <mergeCell ref="G327:H327"/>
    <mergeCell ref="K327:M327"/>
    <mergeCell ref="C328:D328"/>
    <mergeCell ref="G328:H328"/>
    <mergeCell ref="K328:M328"/>
    <mergeCell ref="A330:K330"/>
    <mergeCell ref="A332:B332"/>
    <mergeCell ref="D332:E332"/>
    <mergeCell ref="F332:M332"/>
    <mergeCell ref="A341:K341"/>
    <mergeCell ref="A346:N346"/>
    <mergeCell ref="A347:N347"/>
    <mergeCell ref="A348:N348"/>
    <mergeCell ref="A339:J339"/>
    <mergeCell ref="K339:O339"/>
    <mergeCell ref="C335:D335"/>
    <mergeCell ref="G335:H335"/>
    <mergeCell ref="K335:L335"/>
    <mergeCell ref="M335:N335"/>
    <mergeCell ref="C336:D336"/>
    <mergeCell ref="G336:H336"/>
    <mergeCell ref="K336:L336"/>
    <mergeCell ref="C337:D337"/>
    <mergeCell ref="G337:H337"/>
    <mergeCell ref="K337:L337"/>
    <mergeCell ref="I342:N342"/>
    <mergeCell ref="I343:N343"/>
    <mergeCell ref="I344:N344"/>
    <mergeCell ref="A345:E345"/>
    <mergeCell ref="A320:B320"/>
    <mergeCell ref="C320:F320"/>
    <mergeCell ref="G320:O320"/>
    <mergeCell ref="G325:H325"/>
    <mergeCell ref="K325:M325"/>
    <mergeCell ref="A326:B326"/>
    <mergeCell ref="C326:F326"/>
    <mergeCell ref="G326:O326"/>
    <mergeCell ref="C321:D321"/>
    <mergeCell ref="G321:H321"/>
    <mergeCell ref="K321:M321"/>
    <mergeCell ref="C322:D322"/>
    <mergeCell ref="G322:H322"/>
    <mergeCell ref="K322:M322"/>
    <mergeCell ref="C323:D323"/>
    <mergeCell ref="G323:H323"/>
    <mergeCell ref="K323:M323"/>
    <mergeCell ref="C324:D324"/>
    <mergeCell ref="G324:H324"/>
    <mergeCell ref="K324:M324"/>
    <mergeCell ref="C325:D325"/>
    <mergeCell ref="C316:D316"/>
    <mergeCell ref="G316:H316"/>
    <mergeCell ref="K316:M316"/>
    <mergeCell ref="C317:D317"/>
    <mergeCell ref="G317:H317"/>
    <mergeCell ref="K317:M317"/>
    <mergeCell ref="C314:D314"/>
    <mergeCell ref="G314:H314"/>
    <mergeCell ref="K314:M314"/>
    <mergeCell ref="C315:D315"/>
    <mergeCell ref="G315:H315"/>
    <mergeCell ref="K315:M315"/>
    <mergeCell ref="C318:D318"/>
    <mergeCell ref="G318:H318"/>
    <mergeCell ref="K318:M318"/>
    <mergeCell ref="C319:D319"/>
    <mergeCell ref="G319:H319"/>
    <mergeCell ref="K319:M319"/>
    <mergeCell ref="C308:D308"/>
    <mergeCell ref="G308:H308"/>
    <mergeCell ref="K308:M308"/>
    <mergeCell ref="A309:B309"/>
    <mergeCell ref="C309:F309"/>
    <mergeCell ref="G309:O309"/>
    <mergeCell ref="C310:D310"/>
    <mergeCell ref="G310:H310"/>
    <mergeCell ref="K310:M310"/>
    <mergeCell ref="C311:D311"/>
    <mergeCell ref="G311:H311"/>
    <mergeCell ref="K311:M311"/>
    <mergeCell ref="C312:D312"/>
    <mergeCell ref="G312:H312"/>
    <mergeCell ref="K312:M312"/>
    <mergeCell ref="C313:D313"/>
    <mergeCell ref="G313:H313"/>
    <mergeCell ref="K313:M313"/>
    <mergeCell ref="C302:D302"/>
    <mergeCell ref="G302:H302"/>
    <mergeCell ref="K302:M302"/>
    <mergeCell ref="C303:D303"/>
    <mergeCell ref="G303:H303"/>
    <mergeCell ref="K303:M303"/>
    <mergeCell ref="A304:B304"/>
    <mergeCell ref="C304:F304"/>
    <mergeCell ref="G304:O304"/>
    <mergeCell ref="C305:D305"/>
    <mergeCell ref="G305:H305"/>
    <mergeCell ref="K305:M305"/>
    <mergeCell ref="C306:D306"/>
    <mergeCell ref="G306:H306"/>
    <mergeCell ref="K306:M306"/>
    <mergeCell ref="C307:D307"/>
    <mergeCell ref="G307:H307"/>
    <mergeCell ref="K307:M307"/>
    <mergeCell ref="C296:D296"/>
    <mergeCell ref="G296:H296"/>
    <mergeCell ref="K296:M296"/>
    <mergeCell ref="C297:D297"/>
    <mergeCell ref="G297:H297"/>
    <mergeCell ref="K297:M297"/>
    <mergeCell ref="C298:D298"/>
    <mergeCell ref="G298:H298"/>
    <mergeCell ref="K298:M298"/>
    <mergeCell ref="C299:D299"/>
    <mergeCell ref="G299:H299"/>
    <mergeCell ref="K299:M299"/>
    <mergeCell ref="C300:D300"/>
    <mergeCell ref="G300:H300"/>
    <mergeCell ref="K300:M300"/>
    <mergeCell ref="C301:D301"/>
    <mergeCell ref="G301:H301"/>
    <mergeCell ref="K301:M301"/>
    <mergeCell ref="C288:D288"/>
    <mergeCell ref="G288:H288"/>
    <mergeCell ref="K288:M288"/>
    <mergeCell ref="C289:D289"/>
    <mergeCell ref="G289:H289"/>
    <mergeCell ref="K289:M289"/>
    <mergeCell ref="C290:D290"/>
    <mergeCell ref="G290:H290"/>
    <mergeCell ref="K290:M290"/>
    <mergeCell ref="C291:D291"/>
    <mergeCell ref="G291:H291"/>
    <mergeCell ref="K291:M291"/>
    <mergeCell ref="C294:D294"/>
    <mergeCell ref="G294:H294"/>
    <mergeCell ref="K294:M294"/>
    <mergeCell ref="C295:D295"/>
    <mergeCell ref="G295:H295"/>
    <mergeCell ref="K295:M295"/>
    <mergeCell ref="C292:D292"/>
    <mergeCell ref="G292:H292"/>
    <mergeCell ref="K292:M292"/>
    <mergeCell ref="C293:D293"/>
    <mergeCell ref="G293:H293"/>
    <mergeCell ref="K293:M293"/>
    <mergeCell ref="C282:D282"/>
    <mergeCell ref="G282:H282"/>
    <mergeCell ref="K282:M282"/>
    <mergeCell ref="C283:D283"/>
    <mergeCell ref="G283:H283"/>
    <mergeCell ref="K283:M283"/>
    <mergeCell ref="C284:D284"/>
    <mergeCell ref="G284:H284"/>
    <mergeCell ref="K284:M284"/>
    <mergeCell ref="C285:D285"/>
    <mergeCell ref="G285:H285"/>
    <mergeCell ref="K285:M285"/>
    <mergeCell ref="C286:D286"/>
    <mergeCell ref="G286:H286"/>
    <mergeCell ref="K286:M286"/>
    <mergeCell ref="C287:D287"/>
    <mergeCell ref="G287:H287"/>
    <mergeCell ref="K287:M287"/>
    <mergeCell ref="C278:D278"/>
    <mergeCell ref="G278:H278"/>
    <mergeCell ref="K278:M278"/>
    <mergeCell ref="C279:D279"/>
    <mergeCell ref="G279:H279"/>
    <mergeCell ref="K279:M279"/>
    <mergeCell ref="C276:D276"/>
    <mergeCell ref="G276:H276"/>
    <mergeCell ref="K276:M276"/>
    <mergeCell ref="C277:D277"/>
    <mergeCell ref="G277:H277"/>
    <mergeCell ref="K277:M277"/>
    <mergeCell ref="C280:D280"/>
    <mergeCell ref="G280:H280"/>
    <mergeCell ref="K280:M280"/>
    <mergeCell ref="C281:D281"/>
    <mergeCell ref="G281:H281"/>
    <mergeCell ref="K281:M281"/>
    <mergeCell ref="C270:D270"/>
    <mergeCell ref="G270:H270"/>
    <mergeCell ref="K270:M270"/>
    <mergeCell ref="C271:D271"/>
    <mergeCell ref="G271:H271"/>
    <mergeCell ref="K271:M271"/>
    <mergeCell ref="C272:D272"/>
    <mergeCell ref="G272:H272"/>
    <mergeCell ref="K272:M272"/>
    <mergeCell ref="C273:D273"/>
    <mergeCell ref="G273:H273"/>
    <mergeCell ref="K273:M273"/>
    <mergeCell ref="C274:D274"/>
    <mergeCell ref="G274:H274"/>
    <mergeCell ref="K274:M274"/>
    <mergeCell ref="C275:D275"/>
    <mergeCell ref="G275:H275"/>
    <mergeCell ref="K275:M275"/>
    <mergeCell ref="A264:B264"/>
    <mergeCell ref="C264:F264"/>
    <mergeCell ref="G264:O264"/>
    <mergeCell ref="C265:D265"/>
    <mergeCell ref="G265:H265"/>
    <mergeCell ref="K265:M265"/>
    <mergeCell ref="C266:D266"/>
    <mergeCell ref="G266:H266"/>
    <mergeCell ref="K266:M266"/>
    <mergeCell ref="C267:D267"/>
    <mergeCell ref="G267:H267"/>
    <mergeCell ref="K267:M267"/>
    <mergeCell ref="C268:D268"/>
    <mergeCell ref="G268:H268"/>
    <mergeCell ref="K268:M268"/>
    <mergeCell ref="C269:D269"/>
    <mergeCell ref="G269:H269"/>
    <mergeCell ref="K269:M269"/>
    <mergeCell ref="C258:D258"/>
    <mergeCell ref="G258:H258"/>
    <mergeCell ref="K258:M258"/>
    <mergeCell ref="C259:D259"/>
    <mergeCell ref="G259:H259"/>
    <mergeCell ref="K259:M259"/>
    <mergeCell ref="C260:D260"/>
    <mergeCell ref="G260:H260"/>
    <mergeCell ref="K260:M260"/>
    <mergeCell ref="C261:D261"/>
    <mergeCell ref="G261:H261"/>
    <mergeCell ref="K261:M261"/>
    <mergeCell ref="C262:D262"/>
    <mergeCell ref="G262:H262"/>
    <mergeCell ref="K262:M262"/>
    <mergeCell ref="C263:D263"/>
    <mergeCell ref="G263:H263"/>
    <mergeCell ref="K263:M263"/>
    <mergeCell ref="C252:D252"/>
    <mergeCell ref="G252:H252"/>
    <mergeCell ref="K252:M252"/>
    <mergeCell ref="C253:D253"/>
    <mergeCell ref="G253:H253"/>
    <mergeCell ref="K253:M253"/>
    <mergeCell ref="C254:D254"/>
    <mergeCell ref="G254:H254"/>
    <mergeCell ref="K254:M254"/>
    <mergeCell ref="C255:D255"/>
    <mergeCell ref="G255:H255"/>
    <mergeCell ref="K255:M255"/>
    <mergeCell ref="C256:D256"/>
    <mergeCell ref="G256:H256"/>
    <mergeCell ref="K256:M256"/>
    <mergeCell ref="C257:D257"/>
    <mergeCell ref="G257:H257"/>
    <mergeCell ref="K257:M257"/>
    <mergeCell ref="C246:D246"/>
    <mergeCell ref="G246:H246"/>
    <mergeCell ref="K246:M246"/>
    <mergeCell ref="C247:D247"/>
    <mergeCell ref="G247:H247"/>
    <mergeCell ref="K247:M247"/>
    <mergeCell ref="C248:D248"/>
    <mergeCell ref="G248:H248"/>
    <mergeCell ref="K248:M248"/>
    <mergeCell ref="C249:D249"/>
    <mergeCell ref="G249:H249"/>
    <mergeCell ref="K249:M249"/>
    <mergeCell ref="C250:D250"/>
    <mergeCell ref="G250:H250"/>
    <mergeCell ref="K250:M250"/>
    <mergeCell ref="C251:D251"/>
    <mergeCell ref="G251:H251"/>
    <mergeCell ref="K251:M251"/>
    <mergeCell ref="C240:D240"/>
    <mergeCell ref="G240:H240"/>
    <mergeCell ref="K240:M240"/>
    <mergeCell ref="C241:D241"/>
    <mergeCell ref="G241:H241"/>
    <mergeCell ref="K241:M241"/>
    <mergeCell ref="C242:D242"/>
    <mergeCell ref="G242:H242"/>
    <mergeCell ref="K242:M242"/>
    <mergeCell ref="C243:D243"/>
    <mergeCell ref="G243:H243"/>
    <mergeCell ref="K243:M243"/>
    <mergeCell ref="C244:D244"/>
    <mergeCell ref="G244:H244"/>
    <mergeCell ref="K244:M244"/>
    <mergeCell ref="C245:D245"/>
    <mergeCell ref="G245:H245"/>
    <mergeCell ref="K245:M245"/>
    <mergeCell ref="C233:D233"/>
    <mergeCell ref="G233:H233"/>
    <mergeCell ref="K233:M233"/>
    <mergeCell ref="C234:D234"/>
    <mergeCell ref="G234:H234"/>
    <mergeCell ref="K234:M234"/>
    <mergeCell ref="C235:D235"/>
    <mergeCell ref="G235:H235"/>
    <mergeCell ref="K235:M235"/>
    <mergeCell ref="C239:D239"/>
    <mergeCell ref="G239:H239"/>
    <mergeCell ref="K239:M239"/>
    <mergeCell ref="C236:D236"/>
    <mergeCell ref="G236:H236"/>
    <mergeCell ref="K236:M236"/>
    <mergeCell ref="C237:D237"/>
    <mergeCell ref="G237:H237"/>
    <mergeCell ref="K237:M237"/>
    <mergeCell ref="C238:D238"/>
    <mergeCell ref="G238:H238"/>
    <mergeCell ref="K238:M238"/>
    <mergeCell ref="C227:D227"/>
    <mergeCell ref="G227:H227"/>
    <mergeCell ref="K227:M227"/>
    <mergeCell ref="C228:D228"/>
    <mergeCell ref="G228:H228"/>
    <mergeCell ref="K228:M228"/>
    <mergeCell ref="C229:D229"/>
    <mergeCell ref="G229:H229"/>
    <mergeCell ref="K229:M229"/>
    <mergeCell ref="A230:B230"/>
    <mergeCell ref="C230:F230"/>
    <mergeCell ref="G230:O230"/>
    <mergeCell ref="C231:D231"/>
    <mergeCell ref="G231:H231"/>
    <mergeCell ref="K231:M231"/>
    <mergeCell ref="C232:D232"/>
    <mergeCell ref="G232:H232"/>
    <mergeCell ref="K232:M232"/>
    <mergeCell ref="C222:D222"/>
    <mergeCell ref="G222:H222"/>
    <mergeCell ref="K222:M222"/>
    <mergeCell ref="C223:D223"/>
    <mergeCell ref="G223:H223"/>
    <mergeCell ref="K223:M223"/>
    <mergeCell ref="C221:D221"/>
    <mergeCell ref="G221:H221"/>
    <mergeCell ref="K221:M221"/>
    <mergeCell ref="C224:D224"/>
    <mergeCell ref="G224:H224"/>
    <mergeCell ref="K224:M224"/>
    <mergeCell ref="C225:D225"/>
    <mergeCell ref="G225:H225"/>
    <mergeCell ref="K225:M225"/>
    <mergeCell ref="C226:D226"/>
    <mergeCell ref="G226:H226"/>
    <mergeCell ref="K226:M226"/>
    <mergeCell ref="C215:D215"/>
    <mergeCell ref="G215:H215"/>
    <mergeCell ref="K215:M215"/>
    <mergeCell ref="C216:D216"/>
    <mergeCell ref="G216:H216"/>
    <mergeCell ref="K216:M216"/>
    <mergeCell ref="C217:D217"/>
    <mergeCell ref="G217:H217"/>
    <mergeCell ref="K217:M217"/>
    <mergeCell ref="C218:D218"/>
    <mergeCell ref="G218:H218"/>
    <mergeCell ref="K218:M218"/>
    <mergeCell ref="C219:D219"/>
    <mergeCell ref="G219:H219"/>
    <mergeCell ref="K219:M219"/>
    <mergeCell ref="C220:D220"/>
    <mergeCell ref="G220:H220"/>
    <mergeCell ref="K220:M220"/>
    <mergeCell ref="C209:D209"/>
    <mergeCell ref="G209:H209"/>
    <mergeCell ref="K209:M209"/>
    <mergeCell ref="C210:D210"/>
    <mergeCell ref="G210:H210"/>
    <mergeCell ref="K210:M210"/>
    <mergeCell ref="A211:B211"/>
    <mergeCell ref="C211:F211"/>
    <mergeCell ref="G211:O211"/>
    <mergeCell ref="C212:D212"/>
    <mergeCell ref="G212:H212"/>
    <mergeCell ref="K212:M212"/>
    <mergeCell ref="C213:D213"/>
    <mergeCell ref="G213:H213"/>
    <mergeCell ref="K213:M213"/>
    <mergeCell ref="C214:D214"/>
    <mergeCell ref="G214:H214"/>
    <mergeCell ref="K214:M214"/>
    <mergeCell ref="C205:D205"/>
    <mergeCell ref="G205:H205"/>
    <mergeCell ref="K205:M205"/>
    <mergeCell ref="C208:D208"/>
    <mergeCell ref="G208:H208"/>
    <mergeCell ref="K208:M208"/>
    <mergeCell ref="C203:D203"/>
    <mergeCell ref="G203:H203"/>
    <mergeCell ref="K203:M203"/>
    <mergeCell ref="C204:D204"/>
    <mergeCell ref="G204:H204"/>
    <mergeCell ref="K204:M204"/>
    <mergeCell ref="C206:D206"/>
    <mergeCell ref="G206:H206"/>
    <mergeCell ref="K206:M206"/>
    <mergeCell ref="C207:D207"/>
    <mergeCell ref="G207:H207"/>
    <mergeCell ref="K207:M207"/>
    <mergeCell ref="C195:D195"/>
    <mergeCell ref="G195:H195"/>
    <mergeCell ref="K195:M195"/>
    <mergeCell ref="C201:D201"/>
    <mergeCell ref="G201:H201"/>
    <mergeCell ref="K201:M201"/>
    <mergeCell ref="A202:B202"/>
    <mergeCell ref="C202:F202"/>
    <mergeCell ref="G202:O202"/>
    <mergeCell ref="C196:D196"/>
    <mergeCell ref="G196:H196"/>
    <mergeCell ref="K196:M196"/>
    <mergeCell ref="C197:D197"/>
    <mergeCell ref="G197:H197"/>
    <mergeCell ref="K197:M197"/>
    <mergeCell ref="C198:D198"/>
    <mergeCell ref="G198:H198"/>
    <mergeCell ref="K198:M198"/>
    <mergeCell ref="C199:D199"/>
    <mergeCell ref="G199:H199"/>
    <mergeCell ref="K199:M199"/>
    <mergeCell ref="C200:D200"/>
    <mergeCell ref="G200:H200"/>
    <mergeCell ref="K200:M200"/>
    <mergeCell ref="C189:D189"/>
    <mergeCell ref="G189:H189"/>
    <mergeCell ref="K189:M189"/>
    <mergeCell ref="C190:D190"/>
    <mergeCell ref="G190:H190"/>
    <mergeCell ref="K190:M190"/>
    <mergeCell ref="A191:B191"/>
    <mergeCell ref="C191:F191"/>
    <mergeCell ref="G191:O191"/>
    <mergeCell ref="C192:D192"/>
    <mergeCell ref="G192:H192"/>
    <mergeCell ref="K192:M192"/>
    <mergeCell ref="C193:D193"/>
    <mergeCell ref="G193:H193"/>
    <mergeCell ref="K193:M193"/>
    <mergeCell ref="C194:D194"/>
    <mergeCell ref="G194:H194"/>
    <mergeCell ref="K194:M194"/>
    <mergeCell ref="C185:D185"/>
    <mergeCell ref="G185:H185"/>
    <mergeCell ref="K185:M185"/>
    <mergeCell ref="A182:B182"/>
    <mergeCell ref="C182:F182"/>
    <mergeCell ref="G182:O182"/>
    <mergeCell ref="C183:D183"/>
    <mergeCell ref="G183:H183"/>
    <mergeCell ref="K183:M183"/>
    <mergeCell ref="C186:D186"/>
    <mergeCell ref="G186:H186"/>
    <mergeCell ref="K186:M186"/>
    <mergeCell ref="C187:D187"/>
    <mergeCell ref="G187:H187"/>
    <mergeCell ref="K187:M187"/>
    <mergeCell ref="C188:D188"/>
    <mergeCell ref="G188:H188"/>
    <mergeCell ref="K188:M188"/>
    <mergeCell ref="C177:D177"/>
    <mergeCell ref="G177:H177"/>
    <mergeCell ref="K177:M177"/>
    <mergeCell ref="C178:D178"/>
    <mergeCell ref="G178:H178"/>
    <mergeCell ref="K178:M178"/>
    <mergeCell ref="C184:D184"/>
    <mergeCell ref="G184:H184"/>
    <mergeCell ref="K184:M184"/>
    <mergeCell ref="C181:D181"/>
    <mergeCell ref="G181:H181"/>
    <mergeCell ref="K181:M181"/>
    <mergeCell ref="C179:D179"/>
    <mergeCell ref="G179:H179"/>
    <mergeCell ref="K179:M179"/>
    <mergeCell ref="C180:D180"/>
    <mergeCell ref="G180:H180"/>
    <mergeCell ref="K180:M180"/>
    <mergeCell ref="C171:D171"/>
    <mergeCell ref="G171:H171"/>
    <mergeCell ref="K171:M171"/>
    <mergeCell ref="C172:D172"/>
    <mergeCell ref="G172:H172"/>
    <mergeCell ref="K172:M172"/>
    <mergeCell ref="A173:B173"/>
    <mergeCell ref="C173:F173"/>
    <mergeCell ref="G173:O173"/>
    <mergeCell ref="C174:D174"/>
    <mergeCell ref="G174:H174"/>
    <mergeCell ref="K174:M174"/>
    <mergeCell ref="C175:D175"/>
    <mergeCell ref="G175:H175"/>
    <mergeCell ref="K175:M175"/>
    <mergeCell ref="C176:D176"/>
    <mergeCell ref="G176:H176"/>
    <mergeCell ref="K176:M176"/>
    <mergeCell ref="C165:D165"/>
    <mergeCell ref="G165:H165"/>
    <mergeCell ref="K165:M165"/>
    <mergeCell ref="C166:D166"/>
    <mergeCell ref="G166:H166"/>
    <mergeCell ref="K166:M166"/>
    <mergeCell ref="C167:D167"/>
    <mergeCell ref="G167:H167"/>
    <mergeCell ref="K167:M167"/>
    <mergeCell ref="C168:D168"/>
    <mergeCell ref="G168:H168"/>
    <mergeCell ref="K168:M168"/>
    <mergeCell ref="C169:D169"/>
    <mergeCell ref="G169:H169"/>
    <mergeCell ref="K169:M169"/>
    <mergeCell ref="C170:D170"/>
    <mergeCell ref="G170:H170"/>
    <mergeCell ref="K170:M170"/>
    <mergeCell ref="A159:B159"/>
    <mergeCell ref="C159:F159"/>
    <mergeCell ref="G159:O159"/>
    <mergeCell ref="C160:D160"/>
    <mergeCell ref="G160:H160"/>
    <mergeCell ref="K160:M160"/>
    <mergeCell ref="C161:D161"/>
    <mergeCell ref="G161:H161"/>
    <mergeCell ref="K161:M161"/>
    <mergeCell ref="C162:D162"/>
    <mergeCell ref="G162:H162"/>
    <mergeCell ref="K162:M162"/>
    <mergeCell ref="C163:D163"/>
    <mergeCell ref="G163:H163"/>
    <mergeCell ref="K163:M163"/>
    <mergeCell ref="C164:D164"/>
    <mergeCell ref="G164:H164"/>
    <mergeCell ref="K164:M164"/>
    <mergeCell ref="C153:D153"/>
    <mergeCell ref="G153:H153"/>
    <mergeCell ref="K153:M153"/>
    <mergeCell ref="O153:O154"/>
    <mergeCell ref="A154:E154"/>
    <mergeCell ref="G154:H154"/>
    <mergeCell ref="K154:M154"/>
    <mergeCell ref="A155:B155"/>
    <mergeCell ref="C155:F155"/>
    <mergeCell ref="C156:D156"/>
    <mergeCell ref="G156:H156"/>
    <mergeCell ref="K156:M156"/>
    <mergeCell ref="C157:D157"/>
    <mergeCell ref="G157:H157"/>
    <mergeCell ref="K157:M157"/>
    <mergeCell ref="G155:O155"/>
    <mergeCell ref="C158:D158"/>
    <mergeCell ref="G158:H158"/>
    <mergeCell ref="K158:M158"/>
    <mergeCell ref="C8:D8"/>
    <mergeCell ref="G8:H8"/>
    <mergeCell ref="K8:M8"/>
    <mergeCell ref="O8:O9"/>
    <mergeCell ref="A9:E9"/>
    <mergeCell ref="G9:H9"/>
    <mergeCell ref="K9:M9"/>
    <mergeCell ref="C7:D7"/>
    <mergeCell ref="G7:H7"/>
    <mergeCell ref="K7:M7"/>
    <mergeCell ref="A2:C2"/>
    <mergeCell ref="D2:E2"/>
    <mergeCell ref="F2:L2"/>
    <mergeCell ref="A3:B3"/>
    <mergeCell ref="D3:E3"/>
    <mergeCell ref="F3:L3"/>
    <mergeCell ref="A4:B4"/>
    <mergeCell ref="D4:E4"/>
    <mergeCell ref="F4:L4"/>
    <mergeCell ref="C13:D13"/>
    <mergeCell ref="G13:H13"/>
    <mergeCell ref="K13:M13"/>
    <mergeCell ref="C14:D14"/>
    <mergeCell ref="G14:H14"/>
    <mergeCell ref="K14:M14"/>
    <mergeCell ref="C15:D15"/>
    <mergeCell ref="G15:H15"/>
    <mergeCell ref="K15:M15"/>
    <mergeCell ref="A10:B10"/>
    <mergeCell ref="C10:F10"/>
    <mergeCell ref="C11:D11"/>
    <mergeCell ref="G11:H11"/>
    <mergeCell ref="K11:M11"/>
    <mergeCell ref="C12:D12"/>
    <mergeCell ref="G12:H12"/>
    <mergeCell ref="K12:M12"/>
    <mergeCell ref="G10:O10"/>
    <mergeCell ref="C19:D19"/>
    <mergeCell ref="G19:H19"/>
    <mergeCell ref="K19:M19"/>
    <mergeCell ref="C20:D20"/>
    <mergeCell ref="G20:H20"/>
    <mergeCell ref="K20:M20"/>
    <mergeCell ref="C21:D21"/>
    <mergeCell ref="G21:H21"/>
    <mergeCell ref="K21:M21"/>
    <mergeCell ref="C16:D16"/>
    <mergeCell ref="G16:H16"/>
    <mergeCell ref="K16:M16"/>
    <mergeCell ref="A17:B17"/>
    <mergeCell ref="C17:F17"/>
    <mergeCell ref="G17:O17"/>
    <mergeCell ref="C18:D18"/>
    <mergeCell ref="G18:H18"/>
    <mergeCell ref="K18:M18"/>
    <mergeCell ref="C25:D25"/>
    <mergeCell ref="G25:H25"/>
    <mergeCell ref="K25:M25"/>
    <mergeCell ref="C26:D26"/>
    <mergeCell ref="G26:H26"/>
    <mergeCell ref="K26:M26"/>
    <mergeCell ref="C27:D27"/>
    <mergeCell ref="G27:H27"/>
    <mergeCell ref="K27:M27"/>
    <mergeCell ref="C22:D22"/>
    <mergeCell ref="G22:H22"/>
    <mergeCell ref="K22:M22"/>
    <mergeCell ref="C23:D23"/>
    <mergeCell ref="G23:H23"/>
    <mergeCell ref="K23:M23"/>
    <mergeCell ref="C24:D24"/>
    <mergeCell ref="G24:H24"/>
    <mergeCell ref="K24:M24"/>
    <mergeCell ref="C31:D31"/>
    <mergeCell ref="G31:H31"/>
    <mergeCell ref="K31:M31"/>
    <mergeCell ref="C32:D32"/>
    <mergeCell ref="G32:H32"/>
    <mergeCell ref="K32:M32"/>
    <mergeCell ref="C33:D33"/>
    <mergeCell ref="G33:H33"/>
    <mergeCell ref="K33:M33"/>
    <mergeCell ref="C28:D28"/>
    <mergeCell ref="G28:H28"/>
    <mergeCell ref="K28:M28"/>
    <mergeCell ref="C29:D29"/>
    <mergeCell ref="G29:H29"/>
    <mergeCell ref="K29:M29"/>
    <mergeCell ref="C30:D30"/>
    <mergeCell ref="G30:H30"/>
    <mergeCell ref="K30:M30"/>
    <mergeCell ref="C37:D37"/>
    <mergeCell ref="G37:H37"/>
    <mergeCell ref="K37:M37"/>
    <mergeCell ref="C38:D38"/>
    <mergeCell ref="G38:H38"/>
    <mergeCell ref="K38:M38"/>
    <mergeCell ref="C39:D39"/>
    <mergeCell ref="G39:H39"/>
    <mergeCell ref="K39:M39"/>
    <mergeCell ref="C34:D34"/>
    <mergeCell ref="G34:H34"/>
    <mergeCell ref="K34:M34"/>
    <mergeCell ref="C35:D35"/>
    <mergeCell ref="G35:H35"/>
    <mergeCell ref="K35:M35"/>
    <mergeCell ref="A36:B36"/>
    <mergeCell ref="C36:F36"/>
    <mergeCell ref="G36:O36"/>
    <mergeCell ref="C43:D43"/>
    <mergeCell ref="G43:H43"/>
    <mergeCell ref="K43:M43"/>
    <mergeCell ref="C44:D44"/>
    <mergeCell ref="G44:H44"/>
    <mergeCell ref="K44:M44"/>
    <mergeCell ref="C45:D45"/>
    <mergeCell ref="G45:H45"/>
    <mergeCell ref="K45:M45"/>
    <mergeCell ref="C40:D40"/>
    <mergeCell ref="G40:H40"/>
    <mergeCell ref="K40:M40"/>
    <mergeCell ref="C41:D41"/>
    <mergeCell ref="G41:H41"/>
    <mergeCell ref="K41:M41"/>
    <mergeCell ref="C42:D42"/>
    <mergeCell ref="G42:H42"/>
    <mergeCell ref="K42:M42"/>
    <mergeCell ref="A49:B49"/>
    <mergeCell ref="C49:F49"/>
    <mergeCell ref="G49:O49"/>
    <mergeCell ref="C50:D50"/>
    <mergeCell ref="G50:H50"/>
    <mergeCell ref="K50:M50"/>
    <mergeCell ref="C51:D51"/>
    <mergeCell ref="G51:H51"/>
    <mergeCell ref="K51:M51"/>
    <mergeCell ref="C46:D46"/>
    <mergeCell ref="G46:H46"/>
    <mergeCell ref="K46:M46"/>
    <mergeCell ref="C47:D47"/>
    <mergeCell ref="G47:H47"/>
    <mergeCell ref="K47:M47"/>
    <mergeCell ref="C48:D48"/>
    <mergeCell ref="G48:H48"/>
    <mergeCell ref="K48:M48"/>
    <mergeCell ref="C55:D55"/>
    <mergeCell ref="G55:H55"/>
    <mergeCell ref="K55:M55"/>
    <mergeCell ref="A56:B56"/>
    <mergeCell ref="C56:F56"/>
    <mergeCell ref="G56:O56"/>
    <mergeCell ref="C57:D57"/>
    <mergeCell ref="G57:H57"/>
    <mergeCell ref="K57:M57"/>
    <mergeCell ref="C52:D52"/>
    <mergeCell ref="G52:H52"/>
    <mergeCell ref="K52:M52"/>
    <mergeCell ref="C53:D53"/>
    <mergeCell ref="G53:H53"/>
    <mergeCell ref="K53:M53"/>
    <mergeCell ref="C54:D54"/>
    <mergeCell ref="G54:H54"/>
    <mergeCell ref="K54:M54"/>
    <mergeCell ref="C61:D61"/>
    <mergeCell ref="G61:H61"/>
    <mergeCell ref="K61:M61"/>
    <mergeCell ref="C62:D62"/>
    <mergeCell ref="G62:H62"/>
    <mergeCell ref="K62:M62"/>
    <mergeCell ref="C63:D63"/>
    <mergeCell ref="G63:H63"/>
    <mergeCell ref="K63:M63"/>
    <mergeCell ref="C58:D58"/>
    <mergeCell ref="G58:H58"/>
    <mergeCell ref="K58:M58"/>
    <mergeCell ref="C59:D59"/>
    <mergeCell ref="G59:H59"/>
    <mergeCell ref="K59:M59"/>
    <mergeCell ref="C60:D60"/>
    <mergeCell ref="G60:H60"/>
    <mergeCell ref="K60:M60"/>
    <mergeCell ref="C67:D67"/>
    <mergeCell ref="G67:H67"/>
    <mergeCell ref="K67:M67"/>
    <mergeCell ref="C68:D68"/>
    <mergeCell ref="G68:H68"/>
    <mergeCell ref="K68:M68"/>
    <mergeCell ref="C69:D69"/>
    <mergeCell ref="G69:H69"/>
    <mergeCell ref="K69:M69"/>
    <mergeCell ref="A64:B64"/>
    <mergeCell ref="C64:F64"/>
    <mergeCell ref="G64:O64"/>
    <mergeCell ref="C65:D65"/>
    <mergeCell ref="G65:H65"/>
    <mergeCell ref="K65:M65"/>
    <mergeCell ref="C66:D66"/>
    <mergeCell ref="G66:H66"/>
    <mergeCell ref="K66:M66"/>
    <mergeCell ref="C73:D73"/>
    <mergeCell ref="G73:H73"/>
    <mergeCell ref="K73:M73"/>
    <mergeCell ref="C74:D74"/>
    <mergeCell ref="G74:H74"/>
    <mergeCell ref="K74:M74"/>
    <mergeCell ref="C75:D75"/>
    <mergeCell ref="G75:H75"/>
    <mergeCell ref="K75:M75"/>
    <mergeCell ref="A70:B70"/>
    <mergeCell ref="C70:F70"/>
    <mergeCell ref="C71:D71"/>
    <mergeCell ref="G71:H71"/>
    <mergeCell ref="K71:M71"/>
    <mergeCell ref="G70:O70"/>
    <mergeCell ref="C72:D72"/>
    <mergeCell ref="G72:H72"/>
    <mergeCell ref="K72:M72"/>
    <mergeCell ref="C79:D79"/>
    <mergeCell ref="G79:H79"/>
    <mergeCell ref="K79:M79"/>
    <mergeCell ref="C80:D80"/>
    <mergeCell ref="G80:H80"/>
    <mergeCell ref="K80:M80"/>
    <mergeCell ref="C81:D81"/>
    <mergeCell ref="G81:H81"/>
    <mergeCell ref="K81:M81"/>
    <mergeCell ref="C76:D76"/>
    <mergeCell ref="G76:H76"/>
    <mergeCell ref="K76:M76"/>
    <mergeCell ref="C77:D77"/>
    <mergeCell ref="G77:H77"/>
    <mergeCell ref="K77:M77"/>
    <mergeCell ref="A78:B78"/>
    <mergeCell ref="C78:F78"/>
    <mergeCell ref="G78:O78"/>
    <mergeCell ref="C85:D85"/>
    <mergeCell ref="G85:H85"/>
    <mergeCell ref="K85:M85"/>
    <mergeCell ref="C86:D86"/>
    <mergeCell ref="G86:H86"/>
    <mergeCell ref="K86:M86"/>
    <mergeCell ref="C87:D87"/>
    <mergeCell ref="G87:H87"/>
    <mergeCell ref="K87:M87"/>
    <mergeCell ref="C82:D82"/>
    <mergeCell ref="G82:H82"/>
    <mergeCell ref="K82:M82"/>
    <mergeCell ref="C83:D83"/>
    <mergeCell ref="G83:H83"/>
    <mergeCell ref="K83:M83"/>
    <mergeCell ref="C84:D84"/>
    <mergeCell ref="G84:H84"/>
    <mergeCell ref="K84:M84"/>
    <mergeCell ref="C91:D91"/>
    <mergeCell ref="G91:H91"/>
    <mergeCell ref="K91:M91"/>
    <mergeCell ref="C92:D92"/>
    <mergeCell ref="G92:H92"/>
    <mergeCell ref="K92:M92"/>
    <mergeCell ref="C93:D93"/>
    <mergeCell ref="G93:H93"/>
    <mergeCell ref="K93:M93"/>
    <mergeCell ref="C88:D88"/>
    <mergeCell ref="G88:H88"/>
    <mergeCell ref="K88:M88"/>
    <mergeCell ref="C89:D89"/>
    <mergeCell ref="G89:H89"/>
    <mergeCell ref="K89:M89"/>
    <mergeCell ref="C90:D90"/>
    <mergeCell ref="G90:H90"/>
    <mergeCell ref="K90:M90"/>
    <mergeCell ref="C97:D97"/>
    <mergeCell ref="G97:H97"/>
    <mergeCell ref="K97:M97"/>
    <mergeCell ref="C98:D98"/>
    <mergeCell ref="G98:H98"/>
    <mergeCell ref="K98:M98"/>
    <mergeCell ref="C99:D99"/>
    <mergeCell ref="G99:H99"/>
    <mergeCell ref="K99:M99"/>
    <mergeCell ref="C94:D94"/>
    <mergeCell ref="G94:H94"/>
    <mergeCell ref="K94:M94"/>
    <mergeCell ref="A95:B95"/>
    <mergeCell ref="C95:F95"/>
    <mergeCell ref="G95:O95"/>
    <mergeCell ref="C96:D96"/>
    <mergeCell ref="G96:H96"/>
    <mergeCell ref="K96:M96"/>
    <mergeCell ref="C103:D103"/>
    <mergeCell ref="G103:H103"/>
    <mergeCell ref="K103:M103"/>
    <mergeCell ref="C104:D104"/>
    <mergeCell ref="G104:H104"/>
    <mergeCell ref="K104:M104"/>
    <mergeCell ref="C105:D105"/>
    <mergeCell ref="G105:H105"/>
    <mergeCell ref="K105:M105"/>
    <mergeCell ref="C100:D100"/>
    <mergeCell ref="G100:H100"/>
    <mergeCell ref="K100:M100"/>
    <mergeCell ref="C101:D101"/>
    <mergeCell ref="G101:H101"/>
    <mergeCell ref="K101:M101"/>
    <mergeCell ref="C102:D102"/>
    <mergeCell ref="G102:H102"/>
    <mergeCell ref="K102:M102"/>
    <mergeCell ref="C109:D109"/>
    <mergeCell ref="G109:H109"/>
    <mergeCell ref="K109:M109"/>
    <mergeCell ref="C110:D110"/>
    <mergeCell ref="G110:H110"/>
    <mergeCell ref="K110:M110"/>
    <mergeCell ref="A111:B111"/>
    <mergeCell ref="C111:F111"/>
    <mergeCell ref="G111:O111"/>
    <mergeCell ref="C106:D106"/>
    <mergeCell ref="G106:H106"/>
    <mergeCell ref="K106:M106"/>
    <mergeCell ref="C107:D107"/>
    <mergeCell ref="G107:H107"/>
    <mergeCell ref="K107:M107"/>
    <mergeCell ref="C108:D108"/>
    <mergeCell ref="G108:H108"/>
    <mergeCell ref="K108:M108"/>
    <mergeCell ref="C115:D115"/>
    <mergeCell ref="G115:H115"/>
    <mergeCell ref="K115:M115"/>
    <mergeCell ref="C116:D116"/>
    <mergeCell ref="G116:H116"/>
    <mergeCell ref="K116:M116"/>
    <mergeCell ref="C117:D117"/>
    <mergeCell ref="G117:H117"/>
    <mergeCell ref="K117:M117"/>
    <mergeCell ref="C112:D112"/>
    <mergeCell ref="G112:H112"/>
    <mergeCell ref="K112:M112"/>
    <mergeCell ref="C113:D113"/>
    <mergeCell ref="G113:H113"/>
    <mergeCell ref="K113:M113"/>
    <mergeCell ref="C114:D114"/>
    <mergeCell ref="G114:H114"/>
    <mergeCell ref="K114:M114"/>
    <mergeCell ref="C121:D121"/>
    <mergeCell ref="G121:H121"/>
    <mergeCell ref="K121:M121"/>
    <mergeCell ref="C122:D122"/>
    <mergeCell ref="G122:H122"/>
    <mergeCell ref="K122:M122"/>
    <mergeCell ref="C123:D123"/>
    <mergeCell ref="G123:H123"/>
    <mergeCell ref="K123:M123"/>
    <mergeCell ref="C118:D118"/>
    <mergeCell ref="G118:H118"/>
    <mergeCell ref="K118:M118"/>
    <mergeCell ref="C119:D119"/>
    <mergeCell ref="G119:H119"/>
    <mergeCell ref="K119:M119"/>
    <mergeCell ref="C120:D120"/>
    <mergeCell ref="G120:H120"/>
    <mergeCell ref="K120:M120"/>
    <mergeCell ref="K132:M132"/>
    <mergeCell ref="C127:D127"/>
    <mergeCell ref="G127:H127"/>
    <mergeCell ref="K127:M127"/>
    <mergeCell ref="C128:D128"/>
    <mergeCell ref="G128:H128"/>
    <mergeCell ref="K128:M128"/>
    <mergeCell ref="A129:B129"/>
    <mergeCell ref="C129:F129"/>
    <mergeCell ref="G129:O129"/>
    <mergeCell ref="C124:D124"/>
    <mergeCell ref="G124:H124"/>
    <mergeCell ref="K124:M124"/>
    <mergeCell ref="C125:D125"/>
    <mergeCell ref="G125:H125"/>
    <mergeCell ref="K125:M125"/>
    <mergeCell ref="C126:D126"/>
    <mergeCell ref="G126:H126"/>
    <mergeCell ref="K126:M126"/>
    <mergeCell ref="A150:K150"/>
    <mergeCell ref="A1:N1"/>
    <mergeCell ref="C145:D145"/>
    <mergeCell ref="G145:H145"/>
    <mergeCell ref="K145:M145"/>
    <mergeCell ref="A146:B146"/>
    <mergeCell ref="C146:F146"/>
    <mergeCell ref="G146:O146"/>
    <mergeCell ref="C147:D147"/>
    <mergeCell ref="G147:H147"/>
    <mergeCell ref="K147:M147"/>
    <mergeCell ref="C142:D142"/>
    <mergeCell ref="G142:H142"/>
    <mergeCell ref="K142:M142"/>
    <mergeCell ref="C143:D143"/>
    <mergeCell ref="G143:H143"/>
    <mergeCell ref="K143:M143"/>
    <mergeCell ref="C144:D144"/>
    <mergeCell ref="G144:H144"/>
    <mergeCell ref="K144:M144"/>
    <mergeCell ref="C139:D139"/>
    <mergeCell ref="G139:H139"/>
    <mergeCell ref="K139:M139"/>
    <mergeCell ref="C140:D140"/>
    <mergeCell ref="G133:H133"/>
    <mergeCell ref="K133:M133"/>
    <mergeCell ref="C134:D134"/>
    <mergeCell ref="G134:H134"/>
    <mergeCell ref="K134:M134"/>
    <mergeCell ref="A135:B135"/>
    <mergeCell ref="C135:F135"/>
    <mergeCell ref="G135:O135"/>
    <mergeCell ref="A5:B5"/>
    <mergeCell ref="D5:E5"/>
    <mergeCell ref="F5:L5"/>
    <mergeCell ref="C6:D6"/>
    <mergeCell ref="G6:H6"/>
    <mergeCell ref="K6:M6"/>
    <mergeCell ref="C148:D148"/>
    <mergeCell ref="G148:H148"/>
    <mergeCell ref="K148:M148"/>
    <mergeCell ref="G140:H140"/>
    <mergeCell ref="K140:M140"/>
    <mergeCell ref="C141:D141"/>
    <mergeCell ref="G141:H141"/>
    <mergeCell ref="K141:M141"/>
    <mergeCell ref="C136:D136"/>
    <mergeCell ref="G136:H136"/>
    <mergeCell ref="K136:M136"/>
    <mergeCell ref="C137:D137"/>
    <mergeCell ref="G137:H137"/>
    <mergeCell ref="K137:M137"/>
    <mergeCell ref="C138:D138"/>
    <mergeCell ref="G138:H138"/>
    <mergeCell ref="K138:M138"/>
    <mergeCell ref="C133:D133"/>
    <mergeCell ref="C130:D130"/>
    <mergeCell ref="G130:H130"/>
    <mergeCell ref="K130:M130"/>
    <mergeCell ref="C131:D131"/>
    <mergeCell ref="G131:H131"/>
    <mergeCell ref="K131:M131"/>
    <mergeCell ref="C132:D132"/>
    <mergeCell ref="G132:H132"/>
  </mergeCells>
  <pageMargins left="0.7" right="0.7" top="0.75" bottom="0.75" header="0.3" footer="0.3"/>
  <pageSetup paperSize="9" scale="61" fitToHeight="0" orientation="landscape" horizontalDpi="0" verticalDpi="0" r:id="rId1"/>
  <legacyDrawing r:id="rId2"/>
  <oleObjects>
    <oleObject progId="PBrush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ADMIN</cp:lastModifiedBy>
  <cp:lastPrinted>2021-04-13T11:45:26Z</cp:lastPrinted>
  <dcterms:created xsi:type="dcterms:W3CDTF">2020-03-18T18:49:14Z</dcterms:created>
  <dcterms:modified xsi:type="dcterms:W3CDTF">2021-12-20T12:05:40Z</dcterms:modified>
</cp:coreProperties>
</file>