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.200\dados_pml\Engenharia\LARANJAL\2024\MURO CONCRETO ARMADO RUA CLOVIS SALGADO\"/>
    </mc:Choice>
  </mc:AlternateContent>
  <xr:revisionPtr revIDLastSave="0" documentId="13_ncr:1_{4A37B5CE-6C04-4690-845B-5DC45D47E4E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RÇAMENTO" sheetId="3" r:id="rId1"/>
    <sheet name="MEMORIA DE CALCULO01" sheetId="6" r:id="rId2"/>
    <sheet name="CRONOGRAMA" sheetId="4" r:id="rId3"/>
    <sheet name="MEMORIA DE CALCULO" sheetId="5" r:id="rId4"/>
  </sheets>
  <definedNames>
    <definedName name="_xlnm.Print_Area" localSheetId="1">'MEMORIA DE CALCULO01'!$A$1:$H$55</definedName>
    <definedName name="_xlnm.Print_Area" localSheetId="0">ORÇAMENTO!$A$1:$H$61</definedName>
    <definedName name="_xlnm.Print_Titles" localSheetId="1">'MEMORIA DE CALCULO01'!$1:$13</definedName>
    <definedName name="_xlnm.Print_Titles" localSheetId="0">ORÇAMENTO!$1:$13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5" i="3" l="1"/>
  <c r="G54" i="3"/>
  <c r="G53" i="3"/>
  <c r="G50" i="3"/>
  <c r="G49" i="3"/>
  <c r="G48" i="3"/>
  <c r="G47" i="3"/>
  <c r="G46" i="3"/>
  <c r="G45" i="3"/>
  <c r="G44" i="3"/>
  <c r="G43" i="3"/>
  <c r="G40" i="3"/>
  <c r="G39" i="3"/>
  <c r="G38" i="3"/>
  <c r="G37" i="3"/>
  <c r="G36" i="3"/>
  <c r="G35" i="3"/>
  <c r="G34" i="3"/>
  <c r="G33" i="3"/>
  <c r="G32" i="3"/>
  <c r="G31" i="3"/>
  <c r="G28" i="3"/>
  <c r="G27" i="3"/>
  <c r="G26" i="3"/>
  <c r="G25" i="3"/>
  <c r="G24" i="3"/>
  <c r="G23" i="3"/>
  <c r="G22" i="3"/>
  <c r="G19" i="3"/>
  <c r="G18" i="3"/>
  <c r="G17" i="3"/>
  <c r="G16" i="3"/>
  <c r="G8" i="5"/>
  <c r="E40" i="6"/>
  <c r="J21" i="6"/>
  <c r="E51" i="6"/>
  <c r="E49" i="6"/>
  <c r="E46" i="6"/>
  <c r="E45" i="6"/>
  <c r="E47" i="6" s="1"/>
  <c r="E43" i="6"/>
  <c r="E42" i="6"/>
  <c r="E37" i="6"/>
  <c r="E38" i="6" s="1"/>
  <c r="E35" i="6"/>
  <c r="E34" i="6"/>
  <c r="E33" i="6"/>
  <c r="E30" i="6"/>
  <c r="E29" i="6"/>
  <c r="E27" i="6"/>
  <c r="E26" i="6"/>
  <c r="E25" i="6"/>
  <c r="E23" i="6"/>
  <c r="E22" i="6"/>
  <c r="E21" i="6"/>
  <c r="E19" i="6"/>
  <c r="A18" i="4"/>
  <c r="A16" i="4"/>
  <c r="A14" i="4"/>
  <c r="A12" i="4"/>
  <c r="H25" i="3"/>
  <c r="E27" i="3"/>
  <c r="H34" i="3"/>
  <c r="E24" i="3"/>
  <c r="E22" i="3"/>
  <c r="E39" i="3"/>
  <c r="E40" i="3" s="1"/>
  <c r="H54" i="3"/>
  <c r="E53" i="3"/>
  <c r="E48" i="3"/>
  <c r="E13" i="5"/>
  <c r="D13" i="5"/>
  <c r="E41" i="6" s="1"/>
  <c r="C13" i="5"/>
  <c r="E5" i="5"/>
  <c r="E43" i="3"/>
  <c r="E49" i="3"/>
  <c r="E35" i="3"/>
  <c r="E28" i="3"/>
  <c r="E55" i="3"/>
  <c r="G9" i="5"/>
  <c r="G7" i="5"/>
  <c r="G6" i="5"/>
  <c r="E3" i="5"/>
  <c r="E2" i="5"/>
  <c r="L4" i="5"/>
  <c r="E37" i="3"/>
  <c r="E36" i="3"/>
  <c r="E26" i="3"/>
  <c r="E32" i="3"/>
  <c r="E31" i="3"/>
  <c r="E23" i="3"/>
  <c r="E19" i="3"/>
  <c r="H38" i="3"/>
  <c r="H27" i="3"/>
  <c r="C34" i="5"/>
  <c r="H40" i="3" l="1"/>
  <c r="H35" i="3"/>
  <c r="H39" i="3"/>
  <c r="H28" i="3"/>
  <c r="H24" i="3"/>
  <c r="H26" i="3"/>
  <c r="H36" i="3"/>
  <c r="H31" i="3"/>
  <c r="H22" i="3"/>
  <c r="H37" i="3"/>
  <c r="H33" i="3"/>
  <c r="H32" i="3"/>
  <c r="H23" i="3"/>
  <c r="H19" i="3"/>
  <c r="A43" i="5"/>
  <c r="A44" i="5" s="1"/>
  <c r="F25" i="5"/>
  <c r="C32" i="5"/>
  <c r="D37" i="5"/>
  <c r="C31" i="5"/>
  <c r="D31" i="5" s="1"/>
  <c r="D40" i="5"/>
  <c r="C33" i="5"/>
  <c r="D33" i="5" s="1"/>
  <c r="J6" i="5"/>
  <c r="H2" i="5"/>
  <c r="C37" i="5"/>
  <c r="D34" i="5"/>
  <c r="H41" i="3" l="1"/>
  <c r="B15" i="4" s="1"/>
  <c r="E15" i="4" s="1"/>
  <c r="H29" i="3"/>
  <c r="B13" i="4" s="1"/>
  <c r="H16" i="4"/>
  <c r="H14" i="4"/>
  <c r="H12" i="4"/>
  <c r="H10" i="4"/>
  <c r="C40" i="5"/>
  <c r="C39" i="5"/>
  <c r="D39" i="5" s="1"/>
  <c r="C38" i="5"/>
  <c r="D38" i="5" s="1"/>
  <c r="F37" i="5" s="1"/>
  <c r="C26" i="5"/>
  <c r="D26" i="5" s="1"/>
  <c r="C25" i="5"/>
  <c r="D25" i="5" s="1"/>
  <c r="F23" i="5" s="1"/>
  <c r="C24" i="5"/>
  <c r="D24" i="5" s="1"/>
  <c r="C23" i="5"/>
  <c r="D23" i="5" s="1"/>
  <c r="E20" i="5"/>
  <c r="C20" i="5"/>
  <c r="C19" i="5"/>
  <c r="C18" i="5"/>
  <c r="D18" i="5" s="1"/>
  <c r="E18" i="5" s="1"/>
  <c r="H16" i="3"/>
  <c r="H49" i="3"/>
  <c r="E44" i="3"/>
  <c r="E12" i="5"/>
  <c r="E46" i="3" s="1"/>
  <c r="C12" i="5"/>
  <c r="E45" i="3" s="1"/>
  <c r="E4" i="5"/>
  <c r="D27" i="5" l="1"/>
  <c r="H44" i="3"/>
  <c r="D19" i="5"/>
  <c r="E19" i="5" s="1"/>
  <c r="D41" i="5"/>
  <c r="D32" i="5"/>
  <c r="D35" i="5" s="1"/>
  <c r="G18" i="5" l="1"/>
  <c r="E21" i="5"/>
  <c r="A10" i="4" l="1"/>
  <c r="H55" i="3"/>
  <c r="H17" i="3" l="1"/>
  <c r="H18" i="3"/>
  <c r="H43" i="3"/>
  <c r="H45" i="3"/>
  <c r="H46" i="3"/>
  <c r="H47" i="3"/>
  <c r="H20" i="3" l="1"/>
  <c r="B11" i="4" s="1"/>
  <c r="H53" i="3"/>
  <c r="H56" i="3" s="1"/>
  <c r="H48" i="3"/>
  <c r="E50" i="3"/>
  <c r="H50" i="3" s="1"/>
  <c r="B17" i="4" l="1"/>
  <c r="H51" i="3"/>
  <c r="H57" i="3" s="1"/>
  <c r="C17" i="4"/>
  <c r="D17" i="4"/>
  <c r="E17" i="4"/>
  <c r="B19" i="4" l="1"/>
  <c r="C15" i="4"/>
  <c r="H17" i="4"/>
  <c r="D13" i="4"/>
  <c r="C13" i="4"/>
  <c r="E19" i="4" l="1"/>
  <c r="E21" i="4" s="1"/>
  <c r="B21" i="4"/>
  <c r="H13" i="4"/>
  <c r="D15" i="4"/>
  <c r="D21" i="4" s="1"/>
  <c r="H19" i="4" l="1"/>
  <c r="E20" i="4"/>
  <c r="H15" i="4"/>
  <c r="H7" i="4" l="1"/>
  <c r="C11" i="4"/>
  <c r="C21" i="4" l="1"/>
  <c r="H11" i="4"/>
  <c r="D20" i="4" l="1"/>
  <c r="C20" i="4"/>
  <c r="H21" i="4"/>
  <c r="H20" i="4" l="1"/>
</calcChain>
</file>

<file path=xl/sharedStrings.xml><?xml version="1.0" encoding="utf-8"?>
<sst xmlns="http://schemas.openxmlformats.org/spreadsheetml/2006/main" count="460" uniqueCount="217">
  <si>
    <r>
      <t>CREA- MG 70595/D</t>
    </r>
    <r>
      <rPr>
        <sz val="10"/>
        <color indexed="8"/>
        <rFont val="Arial"/>
        <family val="2"/>
      </rPr>
      <t xml:space="preserve"> </t>
    </r>
  </si>
  <si>
    <t>Prefeito Municipal</t>
  </si>
  <si>
    <t xml:space="preserve">ENGENHEIRA CIVIL </t>
  </si>
  <si>
    <t>Fernando Gonçalves dos Santos</t>
  </si>
  <si>
    <t>VANESSA MONTES MACHADO</t>
  </si>
  <si>
    <t xml:space="preserve">TOTAL DO ITEM </t>
  </si>
  <si>
    <t>M2</t>
  </si>
  <si>
    <t>M3</t>
  </si>
  <si>
    <t>5.1</t>
  </si>
  <si>
    <t>URBANIZAÇÃO</t>
  </si>
  <si>
    <t>URB-001</t>
  </si>
  <si>
    <t>M</t>
  </si>
  <si>
    <t>4.4</t>
  </si>
  <si>
    <t>CHAPISCO COM BRITA FINA 1:2:3 CIMENTO, AREIA E BRITA</t>
  </si>
  <si>
    <t>87893</t>
  </si>
  <si>
    <t>4.2</t>
  </si>
  <si>
    <t>4.1</t>
  </si>
  <si>
    <t>KG</t>
  </si>
  <si>
    <t>3.5</t>
  </si>
  <si>
    <t>ARMAÇÃO  DE PILAR OU VIGA UTILIZANDO  DE AÇO CA50 DE 12,50MM</t>
  </si>
  <si>
    <t>3.4</t>
  </si>
  <si>
    <t>3.3</t>
  </si>
  <si>
    <t>MONTAGEM E DESMONTAGEM DE FORMAS DE PILARES E ESTRUTURAS SIMILARES, EM CHAPA DE MADEIRA COMPENSADA, 8 UTILIZAÇÕES</t>
  </si>
  <si>
    <t>92427</t>
  </si>
  <si>
    <t>3.1</t>
  </si>
  <si>
    <t>LOCAÇÃO CONVENCIONAL DE OBRAS</t>
  </si>
  <si>
    <t>99059</t>
  </si>
  <si>
    <t>1.2</t>
  </si>
  <si>
    <t>LIMPEZA GERAL DA OBRA</t>
  </si>
  <si>
    <t>99811</t>
  </si>
  <si>
    <t>ALVENARIA DE VEDAÇÃO  DE BLOCO DE CONCRETO 15X19X39, A REVESTIR, PORTANTE BLOCO FCK=4,5MPA</t>
  </si>
  <si>
    <t>87472</t>
  </si>
  <si>
    <t>92762</t>
  </si>
  <si>
    <t>4.3</t>
  </si>
  <si>
    <t>CONCRETO MAGRO PARA LASTRO 1:4,5:4,5</t>
  </si>
  <si>
    <t>94968</t>
  </si>
  <si>
    <t>3.2</t>
  </si>
  <si>
    <t>2.1</t>
  </si>
  <si>
    <t>2.0</t>
  </si>
  <si>
    <t>UM</t>
  </si>
  <si>
    <t>EXECUÇÃO DE DEPÓSITO EM CANTEIRO DE OBRA EM CHAPA DE MADEIRA COMPENSADA, NÃO INCLUSO MOBILIÁRIO</t>
  </si>
  <si>
    <t>93584</t>
  </si>
  <si>
    <t>1.1</t>
  </si>
  <si>
    <t>(C) = (A ) x (B)</t>
  </si>
  <si>
    <t>COM BDI</t>
  </si>
  <si>
    <t>(B)</t>
  </si>
  <si>
    <t xml:space="preserve"> (A)</t>
  </si>
  <si>
    <t>VALOR</t>
  </si>
  <si>
    <t>PREÇO UNIT. R$</t>
  </si>
  <si>
    <t>QUANT.</t>
  </si>
  <si>
    <t>UNID</t>
  </si>
  <si>
    <t>DESCRIÇÃO</t>
  </si>
  <si>
    <t>CÓDIGO</t>
  </si>
  <si>
    <t>ITEM</t>
  </si>
  <si>
    <t>BDI 25%</t>
  </si>
  <si>
    <t>BDI:25%</t>
  </si>
  <si>
    <t>REFERÊNCIA:</t>
  </si>
  <si>
    <t>DATA:</t>
  </si>
  <si>
    <t xml:space="preserve">OBRA: </t>
  </si>
  <si>
    <t>PLANILHA ORÇAMENTÁRIA DE CUSTOS</t>
  </si>
  <si>
    <t>Telefax: (32) 3424-1387 / 3424-1919</t>
  </si>
  <si>
    <t>Rua: Norberto Berno, 85 – Centro – CEP 36.760-000 – Laranjal – MG</t>
  </si>
  <si>
    <t>CNPJ:  17.947.615/0001-22</t>
  </si>
  <si>
    <t>PREFEITURA MUNICIPAL DE LARANJAL</t>
  </si>
  <si>
    <t xml:space="preserve">A N E X O   I I </t>
  </si>
  <si>
    <t>CRONOGRAMA FÍSICO-FINANCEIRO</t>
  </si>
  <si>
    <t>ETAPAS</t>
  </si>
  <si>
    <t>Físico / Financeiro</t>
  </si>
  <si>
    <t>Mês 1</t>
  </si>
  <si>
    <t>Mês 2</t>
  </si>
  <si>
    <t>Mês 3</t>
  </si>
  <si>
    <t>Total</t>
  </si>
  <si>
    <t>Físico %</t>
  </si>
  <si>
    <t xml:space="preserve">Nome:  VANESSA MONTES MACHADO                   ENGENHEIRA CIVIL </t>
  </si>
  <si>
    <t xml:space="preserve">CREA- MG 70595/D </t>
  </si>
  <si>
    <r>
      <t>Assinatura</t>
    </r>
    <r>
      <rPr>
        <sz val="11"/>
        <color theme="1"/>
        <rFont val="Calibri"/>
        <family val="2"/>
        <scheme val="minor"/>
      </rPr>
      <t xml:space="preserve">: </t>
    </r>
  </si>
  <si>
    <t>Mês 4</t>
  </si>
  <si>
    <t>Mês 5</t>
  </si>
  <si>
    <t>VALOR DA OBRA</t>
  </si>
  <si>
    <r>
      <t>CONVENENTE</t>
    </r>
    <r>
      <rPr>
        <sz val="11"/>
        <color theme="1"/>
        <rFont val="Calibri"/>
        <family val="2"/>
        <scheme val="minor"/>
      </rPr>
      <t>: Prefeitura Municipal de Laranjal</t>
    </r>
  </si>
  <si>
    <t>SUPERESTRUTURA</t>
  </si>
  <si>
    <t>92759</t>
  </si>
  <si>
    <t>ARMAÇÃO  DE PILAR OU VIGA UTILIZANDO  DE AÇO CA50 DE 5,0MM</t>
  </si>
  <si>
    <t>92763</t>
  </si>
  <si>
    <t>89449</t>
  </si>
  <si>
    <t>TUBO PVC 50 MM PARA DRENAGEM</t>
  </si>
  <si>
    <t>ARMAÇÃO  DE PILAR OU VIGA UTILIZANDO  DE AÇO CA50 DE5,0MM</t>
  </si>
  <si>
    <t>ARMAÇÃO  DE PILAR OU VIGA UTILIZANDO  DE AÇO CA50 DE 10,000MM</t>
  </si>
  <si>
    <t>102498</t>
  </si>
  <si>
    <t>PINTURA DE MEIO FIO COM TINTA BRANCA A BADSE DE CAL CAIAÇÃO</t>
  </si>
  <si>
    <t>4813</t>
  </si>
  <si>
    <t>PLACA DE OBRA  EM CHAPA GALVANIZADA N22 DE 2,00X 1,125 M ADESIVADA</t>
  </si>
  <si>
    <t xml:space="preserve">ESCAVAÇÃO MECANIZADA DE VALA COM PROF. ATÉ 1,5 M (MÉDIA ENTRE MONTANTE </t>
  </si>
  <si>
    <t>5.0</t>
  </si>
  <si>
    <t>5.2</t>
  </si>
  <si>
    <t>5.3</t>
  </si>
  <si>
    <t xml:space="preserve">TOTAL  DA OBRA </t>
  </si>
  <si>
    <t>4.5</t>
  </si>
  <si>
    <t>4.6</t>
  </si>
  <si>
    <t>4.7</t>
  </si>
  <si>
    <t>4.8</t>
  </si>
  <si>
    <t xml:space="preserve">viga </t>
  </si>
  <si>
    <t>pilar</t>
  </si>
  <si>
    <t>94971</t>
  </si>
  <si>
    <t>CONCRETO ESTRUTURAL VIRADO EM OBRA - FCK 25MPA, TRAÇO 1:2,1:2,5 (CIMENTO, AREIA MÉDIA , BRITA 01)</t>
  </si>
  <si>
    <t>1 VIGA DE 15X25</t>
  </si>
  <si>
    <t>CONCRETO</t>
  </si>
  <si>
    <t>FERRAGEM</t>
  </si>
  <si>
    <t>PILARES 4FERROS 10 mm c=1,10 m</t>
  </si>
  <si>
    <t>7 ferros 5.0 mm c= 68 cm</t>
  </si>
  <si>
    <t>FERRO 10</t>
  </si>
  <si>
    <t>VIGAS 4FERROS 8 mm c=55 m</t>
  </si>
  <si>
    <t>FERRO 8</t>
  </si>
  <si>
    <t>ARMAÇÃO  DE PILAR OU VIGA UTILIZANDO  DE AÇO CA50 DE 8,000MM</t>
  </si>
  <si>
    <t>92761</t>
  </si>
  <si>
    <t>FERRO5.0</t>
  </si>
  <si>
    <t>87547</t>
  </si>
  <si>
    <t>EMBOÇO PARA RECEBIMENTO DE PINTURACOM ARGAMASSA 1:2:8 APLICADO MANUALMENTE ESP 10 MM COM EXECUÇÃO DE TALISCAS</t>
  </si>
  <si>
    <t>GUARDA CORPO:</t>
  </si>
  <si>
    <t xml:space="preserve">CÁLCULO DE FORMAS: </t>
  </si>
  <si>
    <t>FUNDAÇÃO:</t>
  </si>
  <si>
    <t>BLOCO B1 18 X</t>
  </si>
  <si>
    <t>PILARES20X40</t>
  </si>
  <si>
    <t>VIGA ALAVANCA 20X40:</t>
  </si>
  <si>
    <t>V2 20X51</t>
  </si>
  <si>
    <t>V1 20X60</t>
  </si>
  <si>
    <t>V3 20X40</t>
  </si>
  <si>
    <t>PILARES</t>
  </si>
  <si>
    <t>25X40</t>
  </si>
  <si>
    <t>CÁLCULO DE CONCRETO:</t>
  </si>
  <si>
    <t>SAPATAS</t>
  </si>
  <si>
    <t>1,20X1,20X0,4</t>
  </si>
  <si>
    <t>PILARES 25X40 (161 M)</t>
  </si>
  <si>
    <t xml:space="preserve">CONCRETAGEM DE SAPATAS E VIGAS  COM CONCRETO FCK 30 MPA USINADO AUTO ADENSÁVEL- LANÇAMENTO E ACABAMENTO </t>
  </si>
  <si>
    <t>96558</t>
  </si>
  <si>
    <t>ESTACAS</t>
  </si>
  <si>
    <t>V1 20X60(68M)</t>
  </si>
  <si>
    <t>V2 20X50(75M)</t>
  </si>
  <si>
    <t>V3 20X40 (120 M)</t>
  </si>
  <si>
    <t>ALVENARIA</t>
  </si>
  <si>
    <t>INFRAESTRUTURA</t>
  </si>
  <si>
    <t>100896</t>
  </si>
  <si>
    <t>SERVIÇOS PRELIMINARES</t>
  </si>
  <si>
    <t>2.1.1</t>
  </si>
  <si>
    <t>2.1.2</t>
  </si>
  <si>
    <t>SUPERESTRURURA</t>
  </si>
  <si>
    <t>96624</t>
  </si>
  <si>
    <t>LASTRO COM MATERIAL GRANULAR PEDRA BRUTADA N02 ESP 10 CM</t>
  </si>
  <si>
    <t>3.0</t>
  </si>
  <si>
    <t>3.6</t>
  </si>
  <si>
    <t>4.0</t>
  </si>
  <si>
    <t>8 PILARES DE 12X25</t>
  </si>
  <si>
    <t xml:space="preserve">BLOCO 20 M X1,1 M </t>
  </si>
  <si>
    <t>40 ferros 5.0 mm  a cadac 20 c= 74 cm</t>
  </si>
  <si>
    <t>98575</t>
  </si>
  <si>
    <t>TRATAMENTO DE JUNTA DE DILATAÇÃO, COM TARUGO DE POLIETILENO E SELANTE PU, INCLUSO PREENCHIMENTO COM ESPUMA EXPANSIVA PU. AF_09/2023</t>
  </si>
  <si>
    <t>102713</t>
  </si>
  <si>
    <t>GEOTÊXTIL NÃO TECIDO 100% POLIÉSTER, RESISTÊNCIA A TRAÇÃO DE 14 KN/M (RT - 14), INSTALADO EM DRENO - FORNECIMENTO E INSTALAÇÃO. AF_07/2021</t>
  </si>
  <si>
    <t>94995</t>
  </si>
  <si>
    <t>EXECUÇÃO DE PASSEIO (CALÇADA) OU PISO DE CONCRETO COM CONCRETO MOLDADO IN LOCO, USINADO, ACABAMENTO CONVENCIONAL, ESPESSURA 8 CM, ARMADO. AF_08/2022</t>
  </si>
  <si>
    <t>MURO DE CONTENÇÃO DE CONCRETO ARMADO -20 M DE EXTENSÃOX3,5 M DE ALTURA</t>
  </si>
  <si>
    <t>94273</t>
  </si>
  <si>
    <t>ASSENTAMENTO DE GUIA (MEIO-FIO) EM TRECHO RETO, CONFECCIONADA EM CONCRETO PRÉ-FABRICADO, DIMENSÕES 100X15X13X30 CM (COMPRIMENTO X BASE INFERIOR X BASE SUPERIOR X ALTURA), PARA VIAS URBANAS (USO VIÁRIO). AF_06/2016</t>
  </si>
  <si>
    <t>96385</t>
  </si>
  <si>
    <t>EXECUÇÃO E COMPACTAÇÃO DE ATERRO COM SOLO PREDOMINANTEMENTE ARGILOSO - EXCLUSIVE SOLO, ESCAVAÇÃO, CARGA E TRANSPORTE. AF_11/2019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</si>
  <si>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</si>
  <si>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</si>
  <si>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ESTACA ESCAVADA MECANICAMENTE SEM FLUIDO ESTABILIZANTE DIAM 25 CM CONCRETO LANÇADO POR CAMINHÃO BETONEIRA</t>
  </si>
  <si>
    <t>EXECUÇÃO DE MURETA -  GUARDA CORPO h =1,10m</t>
  </si>
  <si>
    <t>ARMAÇÃO  DE PILAR OU VIGA UTILIZANDO  DE AÇO CA50 DE 16MM</t>
  </si>
  <si>
    <t>92764</t>
  </si>
  <si>
    <t>ARMAÇÃO DE PILAR OU VIGA DE ESTRUTURA CONVENCIONAL DE CONCRETO ARMADO UTILIZANDO AÇO CA-50 DE 10,0 MM - MONTAGEM. AF_06/2022</t>
  </si>
  <si>
    <t>SINAP 10/2023- desonerada</t>
  </si>
  <si>
    <t>2.2</t>
  </si>
  <si>
    <t>2.3</t>
  </si>
  <si>
    <t>2.4</t>
  </si>
  <si>
    <t>2.5</t>
  </si>
  <si>
    <t>2.6</t>
  </si>
  <si>
    <t>2.7</t>
  </si>
  <si>
    <t>3.7</t>
  </si>
  <si>
    <t>3.8</t>
  </si>
  <si>
    <t>3.9</t>
  </si>
  <si>
    <t>3.10</t>
  </si>
  <si>
    <t>MURO DE CONCRETO ARMADO 20X3,5 M</t>
  </si>
  <si>
    <t>ENDEREÇO:</t>
  </si>
  <si>
    <t>RUA PROFESSOR CLÓVIS SALGADO- CENTRO- LARANJAL- MG</t>
  </si>
  <si>
    <t>CÁLCULO DOS QUANTITATIVOS</t>
  </si>
  <si>
    <t>Placa; 2,00x1,125m = 2,88 m2</t>
  </si>
  <si>
    <t>área: 3x2= 6,0 m2</t>
  </si>
  <si>
    <t>comprimento muro; 20 m</t>
  </si>
  <si>
    <t>volume: 20mx2,5 m de largurax0,5m de altura=25 m2</t>
  </si>
  <si>
    <t>Quant.: 14 x3 unidades=42 unidadesx3 m profundiadde+7 unidades*2,5 m profundidade=143,50 m</t>
  </si>
  <si>
    <t>volume: 20m comprimentox2,5m largurax0,05m de espessura:2,50 m3</t>
  </si>
  <si>
    <t>Volume: 20m comp. X2,5m largx0,5 alt.+4,06 alvancas conf. Projeto</t>
  </si>
  <si>
    <t>Conforme Projeto</t>
  </si>
  <si>
    <t>área: 0,5*20m comp x2 lados:20 m2</t>
  </si>
  <si>
    <t>área: 20mcompx3,5m alturax2 lados=140 m2</t>
  </si>
  <si>
    <t>Concretagem muro: área seção transversal 1,14x20m comprimento: 22,80 m3</t>
  </si>
  <si>
    <t>Altura:3,5 m</t>
  </si>
  <si>
    <t>área:3,5 altura x20m comprimento</t>
  </si>
  <si>
    <t>volume: 20m compx 3,5m altx0,3 espessura: 21 m3</t>
  </si>
  <si>
    <t>40 pedaçõs de 45 cm= 18 m</t>
  </si>
  <si>
    <t>Volume: 1,2m largurax3,5m alturax20m comprimento:84 m3</t>
  </si>
  <si>
    <t>Volume:8 pilares12x25+ 20m viga 15x25=0,99m3</t>
  </si>
  <si>
    <t>Estribos:pilares e vigas=47 ferros 5.0 mmx0,68 m=67,68*0,154*1,0=11,46 kg</t>
  </si>
  <si>
    <t>20m comprimentox1,1maltura=20,5 m2</t>
  </si>
  <si>
    <t>área: 20mx1,1mx2 lados= 44 m3</t>
  </si>
  <si>
    <t>área: 20mx1,1mx2 lados= 44 m2</t>
  </si>
  <si>
    <t>área: 20m x1m largura:20 m2</t>
  </si>
  <si>
    <t>comprimento:20 m</t>
  </si>
  <si>
    <t>área:20m x1,5m largura</t>
  </si>
  <si>
    <t>PILARES 4 ferros 10 mm c=1,10 m=35,2mx0,617*1,1=23,89 kg</t>
  </si>
  <si>
    <t>VIGAS 4 ferros  8 mm c=20 mx0,395*1,1=34,76 kg</t>
  </si>
  <si>
    <t>Responsável Técnico:                                                                  Data:07/03/2024</t>
  </si>
  <si>
    <r>
      <t xml:space="preserve">TOTAL COM   </t>
    </r>
    <r>
      <rPr>
        <b/>
        <sz val="9"/>
        <color indexed="10"/>
        <rFont val="Arial"/>
        <family val="2"/>
      </rPr>
      <t>BDI    DE 25,21%</t>
    </r>
  </si>
  <si>
    <t>BDI:25,21%</t>
  </si>
  <si>
    <r>
      <t>OBRA</t>
    </r>
    <r>
      <rPr>
        <sz val="11"/>
        <color theme="1"/>
        <rFont val="Calibri"/>
        <family val="2"/>
        <scheme val="minor"/>
      </rPr>
      <t>:  Execução de Muro e contenção em concreto armado- Rua Professor Clóvis Salgado-Laranjal-MG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</si>
</sst>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,###,###,##0.00"/>
    <numFmt numFmtId="165" formatCode="_(* #,##0.00_);_(* \(#,##0.00\);_(* \-??_);_(@_)"/>
    <numFmt numFmtId="166" formatCode="_(* #,##0.00_);_(* \(#,##0.00\);_(* &quot;-&quot;??_);_(@_)"/>
    <numFmt numFmtId="167" formatCode="&quot;R$&quot;\ #,##0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</font>
    <font>
      <sz val="10"/>
      <color indexed="8"/>
      <name val="Arial"/>
      <family val="2"/>
    </font>
    <font>
      <sz val="10"/>
      <name val="Calibri"/>
      <family val="2"/>
    </font>
    <font>
      <b/>
      <sz val="12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color rgb="FF003366"/>
      <name val="Arial Narrow"/>
      <family val="2"/>
    </font>
    <font>
      <sz val="11"/>
      <color rgb="FF003366"/>
      <name val="Arial Narrow"/>
      <family val="2"/>
    </font>
    <font>
      <b/>
      <sz val="16"/>
      <color rgb="FF003366"/>
      <name val="Times New Roman"/>
      <family val="1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3366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6" fillId="0" borderId="0" applyFont="0" applyBorder="0" applyAlignment="0"/>
    <xf numFmtId="164" fontId="1" fillId="0" borderId="0" applyFill="0" applyBorder="0" applyAlignment="0" applyProtection="0"/>
    <xf numFmtId="0" fontId="6" fillId="0" borderId="0" applyFont="0" applyBorder="0" applyAlignment="0"/>
    <xf numFmtId="0" fontId="1" fillId="0" borderId="0"/>
    <xf numFmtId="43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3">
    <xf numFmtId="0" fontId="0" fillId="0" borderId="0" xfId="0"/>
    <xf numFmtId="0" fontId="2" fillId="0" borderId="0" xfId="0" applyFont="1" applyAlignment="1">
      <alignment horizontal="center" readingOrder="1"/>
    </xf>
    <xf numFmtId="0" fontId="4" fillId="0" borderId="0" xfId="0" applyFont="1" applyAlignment="1">
      <alignment horizontal="center" readingOrder="1"/>
    </xf>
    <xf numFmtId="0" fontId="7" fillId="0" borderId="6" xfId="3" applyFont="1" applyFill="1" applyBorder="1" applyAlignment="1">
      <alignment vertical="center"/>
    </xf>
    <xf numFmtId="0" fontId="7" fillId="0" borderId="9" xfId="3" applyFont="1" applyFill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" fillId="0" borderId="0" xfId="6"/>
    <xf numFmtId="0" fontId="7" fillId="0" borderId="17" xfId="1" applyFont="1" applyBorder="1" applyAlignment="1">
      <alignment vertical="center"/>
    </xf>
    <xf numFmtId="0" fontId="7" fillId="0" borderId="12" xfId="1" applyFont="1" applyBorder="1" applyAlignment="1">
      <alignment vertical="center"/>
    </xf>
    <xf numFmtId="43" fontId="7" fillId="0" borderId="19" xfId="7" applyFont="1" applyBorder="1" applyAlignment="1">
      <alignment horizontal="left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24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0" fontId="12" fillId="0" borderId="1" xfId="1" applyNumberFormat="1" applyFont="1" applyBorder="1" applyAlignment="1">
      <alignment horizontal="right" vertical="center"/>
    </xf>
    <xf numFmtId="0" fontId="13" fillId="0" borderId="1" xfId="1" applyFont="1" applyBorder="1" applyAlignment="1">
      <alignment horizontal="right" vertical="center"/>
    </xf>
    <xf numFmtId="4" fontId="13" fillId="0" borderId="1" xfId="1" applyNumberFormat="1" applyFont="1" applyBorder="1" applyAlignment="1">
      <alignment horizontal="center" vertical="center"/>
    </xf>
    <xf numFmtId="43" fontId="13" fillId="0" borderId="1" xfId="7" applyFont="1" applyBorder="1" applyAlignment="1">
      <alignment horizontal="right" vertical="center"/>
    </xf>
    <xf numFmtId="4" fontId="12" fillId="3" borderId="24" xfId="1" applyNumberFormat="1" applyFont="1" applyFill="1" applyBorder="1" applyAlignment="1">
      <alignment vertical="center"/>
    </xf>
    <xf numFmtId="10" fontId="12" fillId="3" borderId="24" xfId="1" applyNumberFormat="1" applyFont="1" applyFill="1" applyBorder="1" applyAlignment="1">
      <alignment vertical="center"/>
    </xf>
    <xf numFmtId="166" fontId="13" fillId="0" borderId="1" xfId="8" applyFont="1" applyBorder="1" applyAlignment="1">
      <alignment horizontal="right" vertical="center"/>
    </xf>
    <xf numFmtId="10" fontId="12" fillId="0" borderId="1" xfId="8" applyNumberFormat="1" applyFont="1" applyBorder="1" applyAlignment="1">
      <alignment horizontal="right" vertical="center"/>
    </xf>
    <xf numFmtId="4" fontId="13" fillId="0" borderId="1" xfId="1" applyNumberFormat="1" applyFont="1" applyBorder="1" applyAlignment="1">
      <alignment horizontal="right" vertical="center"/>
    </xf>
    <xf numFmtId="0" fontId="12" fillId="3" borderId="1" xfId="1" applyFont="1" applyFill="1" applyBorder="1" applyAlignment="1">
      <alignment horizontal="center" vertical="center"/>
    </xf>
    <xf numFmtId="10" fontId="12" fillId="3" borderId="1" xfId="9" applyNumberFormat="1" applyFont="1" applyFill="1" applyBorder="1" applyAlignment="1">
      <alignment vertical="center"/>
    </xf>
    <xf numFmtId="4" fontId="12" fillId="3" borderId="1" xfId="1" applyNumberFormat="1" applyFont="1" applyFill="1" applyBorder="1" applyAlignment="1">
      <alignment horizontal="center" vertical="center"/>
    </xf>
    <xf numFmtId="167" fontId="12" fillId="3" borderId="1" xfId="1" applyNumberFormat="1" applyFont="1" applyFill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left"/>
    </xf>
    <xf numFmtId="0" fontId="7" fillId="0" borderId="0" xfId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2" xfId="1" applyFont="1" applyBorder="1" applyAlignment="1">
      <alignment horizontal="left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15" fillId="0" borderId="0" xfId="0" applyFont="1"/>
    <xf numFmtId="0" fontId="16" fillId="6" borderId="0" xfId="0" applyFont="1" applyFill="1"/>
    <xf numFmtId="0" fontId="0" fillId="7" borderId="0" xfId="0" applyFill="1"/>
    <xf numFmtId="0" fontId="18" fillId="0" borderId="12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8" fillId="0" borderId="13" xfId="0" applyFont="1" applyBorder="1" applyAlignment="1">
      <alignment horizontal="center" vertical="center" wrapText="1"/>
    </xf>
    <xf numFmtId="0" fontId="7" fillId="0" borderId="11" xfId="5" applyFont="1" applyFill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14" fontId="7" fillId="0" borderId="12" xfId="5" applyNumberFormat="1" applyFont="1" applyFill="1" applyBorder="1" applyAlignment="1">
      <alignment vertical="center" wrapText="1"/>
    </xf>
    <xf numFmtId="0" fontId="7" fillId="0" borderId="12" xfId="5" applyFont="1" applyFill="1" applyBorder="1" applyAlignment="1">
      <alignment vertical="center" wrapText="1"/>
    </xf>
    <xf numFmtId="0" fontId="1" fillId="0" borderId="7" xfId="3" applyFont="1" applyFill="1" applyBorder="1" applyAlignment="1">
      <alignment vertical="center"/>
    </xf>
    <xf numFmtId="0" fontId="1" fillId="0" borderId="6" xfId="3" applyFont="1" applyFill="1" applyBorder="1" applyAlignment="1">
      <alignment vertical="center"/>
    </xf>
    <xf numFmtId="0" fontId="1" fillId="0" borderId="6" xfId="3" applyNumberFormat="1" applyFont="1" applyFill="1" applyBorder="1" applyAlignment="1">
      <alignment vertical="center" wrapText="1"/>
    </xf>
    <xf numFmtId="4" fontId="1" fillId="0" borderId="6" xfId="3" applyNumberFormat="1" applyFont="1" applyFill="1" applyBorder="1" applyAlignment="1">
      <alignment vertical="center"/>
    </xf>
    <xf numFmtId="0" fontId="1" fillId="0" borderId="7" xfId="3" applyFont="1" applyFill="1" applyBorder="1" applyAlignment="1">
      <alignment horizontal="center" vertical="center"/>
    </xf>
    <xf numFmtId="4" fontId="1" fillId="0" borderId="3" xfId="3" applyNumberFormat="1" applyFont="1" applyFill="1" applyBorder="1" applyAlignment="1">
      <alignment horizontal="center" vertical="center" wrapText="1"/>
    </xf>
    <xf numFmtId="4" fontId="1" fillId="0" borderId="2" xfId="3" applyNumberFormat="1" applyFont="1" applyFill="1" applyBorder="1" applyAlignment="1">
      <alignment horizontal="center" vertical="center"/>
    </xf>
    <xf numFmtId="2" fontId="3" fillId="0" borderId="1" xfId="4" applyNumberFormat="1" applyFont="1" applyFill="1" applyBorder="1" applyAlignment="1" applyProtection="1">
      <alignment horizontal="center" vertical="center" wrapText="1"/>
    </xf>
    <xf numFmtId="4" fontId="3" fillId="0" borderId="1" xfId="2" applyNumberFormat="1" applyFont="1" applyBorder="1" applyAlignment="1">
      <alignment horizontal="center" vertical="center" wrapText="1"/>
    </xf>
    <xf numFmtId="4" fontId="7" fillId="0" borderId="1" xfId="3" applyNumberFormat="1" applyFont="1" applyFill="1" applyBorder="1" applyAlignment="1">
      <alignment vertical="center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4" fontId="1" fillId="0" borderId="1" xfId="3" applyNumberFormat="1" applyFont="1" applyFill="1" applyBorder="1" applyAlignment="1">
      <alignment vertical="center"/>
    </xf>
    <xf numFmtId="4" fontId="1" fillId="0" borderId="1" xfId="3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9" fillId="2" borderId="1" xfId="2" applyFont="1" applyFill="1" applyBorder="1" applyAlignment="1">
      <alignment horizontal="left" vertical="center" wrapText="1"/>
    </xf>
    <xf numFmtId="4" fontId="3" fillId="2" borderId="1" xfId="2" applyNumberFormat="1" applyFont="1" applyFill="1" applyBorder="1" applyAlignment="1">
      <alignment horizontal="center" vertical="center" wrapText="1"/>
    </xf>
    <xf numFmtId="4" fontId="7" fillId="2" borderId="1" xfId="3" applyNumberFormat="1" applyFont="1" applyFill="1" applyBorder="1" applyAlignment="1">
      <alignment vertical="center"/>
    </xf>
    <xf numFmtId="0" fontId="19" fillId="8" borderId="1" xfId="2" applyFont="1" applyFill="1" applyBorder="1" applyAlignment="1">
      <alignment horizontal="center" vertical="center" wrapText="1"/>
    </xf>
    <xf numFmtId="49" fontId="19" fillId="8" borderId="1" xfId="2" applyNumberFormat="1" applyFont="1" applyFill="1" applyBorder="1" applyAlignment="1">
      <alignment horizontal="center" vertical="center" wrapText="1"/>
    </xf>
    <xf numFmtId="0" fontId="19" fillId="8" borderId="1" xfId="2" applyFont="1" applyFill="1" applyBorder="1" applyAlignment="1">
      <alignment horizontal="left" vertical="center" wrapText="1"/>
    </xf>
    <xf numFmtId="2" fontId="19" fillId="8" borderId="1" xfId="4" applyNumberFormat="1" applyFont="1" applyFill="1" applyBorder="1" applyAlignment="1" applyProtection="1">
      <alignment horizontal="center" vertical="center" wrapText="1"/>
    </xf>
    <xf numFmtId="4" fontId="19" fillId="8" borderId="1" xfId="2" applyNumberFormat="1" applyFont="1" applyFill="1" applyBorder="1" applyAlignment="1">
      <alignment horizontal="center" vertical="center" wrapText="1"/>
    </xf>
    <xf numFmtId="164" fontId="7" fillId="8" borderId="1" xfId="0" applyNumberFormat="1" applyFont="1" applyFill="1" applyBorder="1" applyAlignment="1">
      <alignment horizontal="center" vertical="center"/>
    </xf>
    <xf numFmtId="4" fontId="7" fillId="8" borderId="1" xfId="3" applyNumberFormat="1" applyFont="1" applyFill="1" applyBorder="1" applyAlignment="1">
      <alignment horizontal="center" vertical="center" wrapText="1"/>
    </xf>
    <xf numFmtId="4" fontId="7" fillId="8" borderId="1" xfId="3" applyNumberFormat="1" applyFont="1" applyFill="1" applyBorder="1" applyAlignment="1">
      <alignment vertical="center"/>
    </xf>
    <xf numFmtId="0" fontId="3" fillId="0" borderId="1" xfId="2" applyFont="1" applyFill="1" applyBorder="1" applyAlignment="1">
      <alignment horizontal="left" vertical="center" wrapText="1"/>
    </xf>
    <xf numFmtId="4" fontId="3" fillId="0" borderId="1" xfId="2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3" fillId="8" borderId="1" xfId="2" applyNumberFormat="1" applyFont="1" applyFill="1" applyBorder="1" applyAlignment="1">
      <alignment horizontal="center" vertical="center" wrapText="1"/>
    </xf>
    <xf numFmtId="2" fontId="3" fillId="8" borderId="1" xfId="4" applyNumberFormat="1" applyFont="1" applyFill="1" applyBorder="1" applyAlignment="1" applyProtection="1">
      <alignment horizontal="center" vertical="center" wrapText="1"/>
    </xf>
    <xf numFmtId="4" fontId="3" fillId="8" borderId="1" xfId="2" applyNumberFormat="1" applyFont="1" applyFill="1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/>
    </xf>
    <xf numFmtId="4" fontId="1" fillId="8" borderId="1" xfId="3" applyNumberFormat="1" applyFont="1" applyFill="1" applyBorder="1" applyAlignment="1">
      <alignment horizontal="center" vertical="center" wrapText="1"/>
    </xf>
    <xf numFmtId="4" fontId="1" fillId="8" borderId="1" xfId="3" applyNumberFormat="1" applyFont="1" applyFill="1" applyBorder="1" applyAlignment="1">
      <alignment vertical="center"/>
    </xf>
    <xf numFmtId="0" fontId="20" fillId="0" borderId="1" xfId="0" applyFont="1" applyFill="1" applyBorder="1"/>
    <xf numFmtId="2" fontId="20" fillId="0" borderId="1" xfId="0" applyNumberFormat="1" applyFont="1" applyFill="1" applyBorder="1" applyAlignment="1">
      <alignment vertical="center"/>
    </xf>
    <xf numFmtId="4" fontId="20" fillId="0" borderId="1" xfId="0" applyNumberFormat="1" applyFont="1" applyFill="1" applyBorder="1" applyAlignment="1">
      <alignment vertical="center"/>
    </xf>
    <xf numFmtId="165" fontId="3" fillId="0" borderId="1" xfId="4" applyNumberFormat="1" applyFont="1" applyFill="1" applyBorder="1" applyAlignment="1" applyProtection="1">
      <alignment horizontal="center" vertical="center" wrapText="1"/>
    </xf>
    <xf numFmtId="165" fontId="19" fillId="8" borderId="1" xfId="4" applyNumberFormat="1" applyFont="1" applyFill="1" applyBorder="1" applyAlignment="1" applyProtection="1">
      <alignment horizontal="center" vertical="center" wrapText="1"/>
    </xf>
    <xf numFmtId="4" fontId="21" fillId="8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8" borderId="1" xfId="2" applyFont="1" applyFill="1" applyBorder="1" applyAlignment="1">
      <alignment horizontal="center" vertical="center" wrapText="1"/>
    </xf>
    <xf numFmtId="4" fontId="1" fillId="0" borderId="1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vertical="center"/>
    </xf>
    <xf numFmtId="0" fontId="1" fillId="0" borderId="1" xfId="2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49" fontId="19" fillId="2" borderId="1" xfId="2" applyNumberFormat="1" applyFont="1" applyFill="1" applyBorder="1" applyAlignment="1">
      <alignment horizontal="center" vertical="center" wrapText="1"/>
    </xf>
    <xf numFmtId="165" fontId="3" fillId="2" borderId="1" xfId="4" applyNumberFormat="1" applyFont="1" applyFill="1" applyBorder="1" applyAlignment="1" applyProtection="1">
      <alignment horizontal="center" vertical="center" wrapText="1"/>
    </xf>
    <xf numFmtId="4" fontId="20" fillId="2" borderId="1" xfId="0" applyNumberFormat="1" applyFont="1" applyFill="1" applyBorder="1" applyAlignment="1">
      <alignment vertical="center"/>
    </xf>
    <xf numFmtId="0" fontId="19" fillId="0" borderId="1" xfId="2" applyFont="1" applyFill="1" applyBorder="1" applyAlignment="1">
      <alignment horizontal="left" vertical="center" wrapText="1"/>
    </xf>
    <xf numFmtId="49" fontId="19" fillId="0" borderId="1" xfId="2" applyNumberFormat="1" applyFont="1" applyFill="1" applyBorder="1" applyAlignment="1">
      <alignment horizontal="center" vertical="center" wrapText="1"/>
    </xf>
    <xf numFmtId="0" fontId="20" fillId="2" borderId="1" xfId="0" applyFont="1" applyFill="1" applyBorder="1"/>
    <xf numFmtId="4" fontId="21" fillId="2" borderId="1" xfId="0" applyNumberFormat="1" applyFont="1" applyFill="1" applyBorder="1"/>
    <xf numFmtId="0" fontId="18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7" fillId="8" borderId="1" xfId="2" applyFont="1" applyFill="1" applyBorder="1" applyAlignment="1">
      <alignment horizontal="center" vertical="center" wrapText="1"/>
    </xf>
    <xf numFmtId="49" fontId="1" fillId="8" borderId="1" xfId="2" applyNumberFormat="1" applyFont="1" applyFill="1" applyBorder="1" applyAlignment="1">
      <alignment horizontal="center" vertical="center" wrapText="1"/>
    </xf>
    <xf numFmtId="0" fontId="7" fillId="8" borderId="1" xfId="2" applyFont="1" applyFill="1" applyBorder="1" applyAlignment="1">
      <alignment horizontal="left" vertical="center" wrapText="1"/>
    </xf>
    <xf numFmtId="165" fontId="1" fillId="8" borderId="1" xfId="4" applyNumberFormat="1" applyFont="1" applyFill="1" applyBorder="1" applyAlignment="1" applyProtection="1">
      <alignment horizontal="center" vertical="center" wrapText="1"/>
    </xf>
    <xf numFmtId="4" fontId="1" fillId="8" borderId="1" xfId="2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vertical="center"/>
    </xf>
    <xf numFmtId="4" fontId="20" fillId="8" borderId="1" xfId="0" applyNumberFormat="1" applyFont="1" applyFill="1" applyBorder="1" applyAlignment="1">
      <alignment vertical="center"/>
    </xf>
    <xf numFmtId="4" fontId="13" fillId="0" borderId="3" xfId="3" applyNumberFormat="1" applyFont="1" applyFill="1" applyBorder="1" applyAlignment="1">
      <alignment horizontal="center" vertical="center" wrapText="1"/>
    </xf>
    <xf numFmtId="4" fontId="13" fillId="0" borderId="2" xfId="3" applyNumberFormat="1" applyFont="1" applyFill="1" applyBorder="1" applyAlignment="1">
      <alignment horizontal="center" vertical="center"/>
    </xf>
    <xf numFmtId="0" fontId="22" fillId="8" borderId="1" xfId="2" applyFont="1" applyFill="1" applyBorder="1" applyAlignment="1">
      <alignment horizontal="center" vertical="center" wrapText="1"/>
    </xf>
    <xf numFmtId="49" fontId="22" fillId="8" borderId="1" xfId="2" applyNumberFormat="1" applyFont="1" applyFill="1" applyBorder="1" applyAlignment="1">
      <alignment horizontal="center" vertical="center" wrapText="1"/>
    </xf>
    <xf numFmtId="0" fontId="22" fillId="8" borderId="1" xfId="2" applyFont="1" applyFill="1" applyBorder="1" applyAlignment="1">
      <alignment horizontal="left" vertical="center" wrapText="1"/>
    </xf>
    <xf numFmtId="2" fontId="22" fillId="8" borderId="1" xfId="4" applyNumberFormat="1" applyFont="1" applyFill="1" applyBorder="1" applyAlignment="1" applyProtection="1">
      <alignment horizontal="center" vertical="center" wrapText="1"/>
    </xf>
    <xf numFmtId="4" fontId="22" fillId="8" borderId="1" xfId="2" applyNumberFormat="1" applyFont="1" applyFill="1" applyBorder="1" applyAlignment="1">
      <alignment horizontal="center" vertical="center" wrapText="1"/>
    </xf>
    <xf numFmtId="4" fontId="13" fillId="8" borderId="7" xfId="3" applyNumberFormat="1" applyFont="1" applyFill="1" applyBorder="1" applyAlignment="1">
      <alignment vertical="center" wrapText="1"/>
    </xf>
    <xf numFmtId="4" fontId="13" fillId="8" borderId="6" xfId="3" applyNumberFormat="1" applyFont="1" applyFill="1" applyBorder="1" applyAlignment="1">
      <alignment vertical="center" wrapText="1"/>
    </xf>
    <xf numFmtId="4" fontId="13" fillId="8" borderId="5" xfId="3" applyNumberFormat="1" applyFont="1" applyFill="1" applyBorder="1" applyAlignment="1">
      <alignment vertical="center" wrapText="1"/>
    </xf>
    <xf numFmtId="0" fontId="23" fillId="0" borderId="1" xfId="2" applyFont="1" applyBorder="1" applyAlignment="1">
      <alignment horizontal="center" vertical="center" wrapText="1"/>
    </xf>
    <xf numFmtId="49" fontId="23" fillId="0" borderId="1" xfId="2" applyNumberFormat="1" applyFont="1" applyBorder="1" applyAlignment="1">
      <alignment horizontal="center" vertical="center" wrapText="1"/>
    </xf>
    <xf numFmtId="0" fontId="23" fillId="0" borderId="1" xfId="2" applyFont="1" applyBorder="1" applyAlignment="1">
      <alignment horizontal="left" vertical="center" wrapText="1"/>
    </xf>
    <xf numFmtId="2" fontId="23" fillId="0" borderId="1" xfId="4" applyNumberFormat="1" applyFont="1" applyFill="1" applyBorder="1" applyAlignment="1" applyProtection="1">
      <alignment horizontal="center" vertical="center" wrapText="1"/>
    </xf>
    <xf numFmtId="4" fontId="23" fillId="0" borderId="1" xfId="2" applyNumberFormat="1" applyFont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49" fontId="23" fillId="0" borderId="1" xfId="2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23" fillId="0" borderId="1" xfId="2" applyFont="1" applyFill="1" applyBorder="1" applyAlignment="1">
      <alignment horizontal="left" vertical="center" wrapText="1"/>
    </xf>
    <xf numFmtId="4" fontId="23" fillId="0" borderId="1" xfId="2" applyNumberFormat="1" applyFont="1" applyFill="1" applyBorder="1" applyAlignment="1">
      <alignment horizontal="center" vertical="center" wrapText="1"/>
    </xf>
    <xf numFmtId="49" fontId="23" fillId="8" borderId="1" xfId="2" applyNumberFormat="1" applyFont="1" applyFill="1" applyBorder="1" applyAlignment="1">
      <alignment horizontal="center" vertical="center" wrapText="1"/>
    </xf>
    <xf numFmtId="2" fontId="23" fillId="8" borderId="1" xfId="4" applyNumberFormat="1" applyFont="1" applyFill="1" applyBorder="1" applyAlignment="1" applyProtection="1">
      <alignment horizontal="center" vertical="center" wrapText="1"/>
    </xf>
    <xf numFmtId="4" fontId="23" fillId="8" borderId="1" xfId="2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165" fontId="23" fillId="0" borderId="1" xfId="4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wrapText="1"/>
    </xf>
    <xf numFmtId="4" fontId="13" fillId="0" borderId="1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8" borderId="1" xfId="2" applyFont="1" applyFill="1" applyBorder="1" applyAlignment="1">
      <alignment horizontal="center" vertical="center" wrapText="1"/>
    </xf>
    <xf numFmtId="49" fontId="13" fillId="8" borderId="1" xfId="2" applyNumberFormat="1" applyFont="1" applyFill="1" applyBorder="1" applyAlignment="1">
      <alignment horizontal="center" vertical="center" wrapText="1"/>
    </xf>
    <xf numFmtId="0" fontId="12" fillId="8" borderId="1" xfId="2" applyFont="1" applyFill="1" applyBorder="1" applyAlignment="1">
      <alignment horizontal="left" vertical="center" wrapText="1"/>
    </xf>
    <xf numFmtId="165" fontId="13" fillId="8" borderId="1" xfId="4" applyNumberFormat="1" applyFont="1" applyFill="1" applyBorder="1" applyAlignment="1" applyProtection="1">
      <alignment horizontal="center" vertical="center" wrapText="1"/>
    </xf>
    <xf numFmtId="4" fontId="13" fillId="8" borderId="1" xfId="2" applyNumberFormat="1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4" fontId="13" fillId="0" borderId="1" xfId="2" applyNumberFormat="1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9" fillId="0" borderId="12" xfId="2" applyFont="1" applyBorder="1" applyAlignment="1">
      <alignment horizontal="center" vertical="center" wrapText="1"/>
    </xf>
    <xf numFmtId="0" fontId="1" fillId="0" borderId="0" xfId="6" applyAlignment="1"/>
    <xf numFmtId="0" fontId="1" fillId="0" borderId="0" xfId="6" applyAlignment="1">
      <alignment horizontal="center"/>
    </xf>
    <xf numFmtId="0" fontId="18" fillId="0" borderId="13" xfId="0" applyFont="1" applyBorder="1" applyAlignment="1">
      <alignment horizontal="left" vertical="center" wrapText="1"/>
    </xf>
    <xf numFmtId="0" fontId="7" fillId="0" borderId="10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4" fontId="7" fillId="0" borderId="10" xfId="3" applyNumberFormat="1" applyFont="1" applyFill="1" applyBorder="1" applyAlignment="1">
      <alignment horizontal="center" vertical="center" wrapText="1"/>
    </xf>
    <xf numFmtId="4" fontId="7" fillId="0" borderId="9" xfId="3" applyNumberFormat="1" applyFont="1" applyFill="1" applyBorder="1" applyAlignment="1">
      <alignment horizontal="center" vertical="center" wrapText="1"/>
    </xf>
    <xf numFmtId="4" fontId="7" fillId="0" borderId="8" xfId="3" applyNumberFormat="1" applyFont="1" applyFill="1" applyBorder="1" applyAlignment="1">
      <alignment horizontal="center" vertical="center" wrapText="1"/>
    </xf>
    <xf numFmtId="4" fontId="7" fillId="0" borderId="7" xfId="3" applyNumberFormat="1" applyFont="1" applyFill="1" applyBorder="1" applyAlignment="1">
      <alignment horizontal="center" vertical="center" wrapText="1"/>
    </xf>
    <xf numFmtId="4" fontId="7" fillId="0" borderId="6" xfId="3" applyNumberFormat="1" applyFont="1" applyFill="1" applyBorder="1" applyAlignment="1">
      <alignment horizontal="center" vertical="center" wrapText="1"/>
    </xf>
    <xf numFmtId="4" fontId="7" fillId="0" borderId="5" xfId="3" applyNumberFormat="1" applyFont="1" applyFill="1" applyBorder="1" applyAlignment="1">
      <alignment horizontal="center" vertical="center" wrapText="1"/>
    </xf>
    <xf numFmtId="0" fontId="1" fillId="0" borderId="4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4" xfId="3" applyNumberFormat="1" applyFont="1" applyFill="1" applyBorder="1" applyAlignment="1">
      <alignment horizontal="center" vertical="center"/>
    </xf>
    <xf numFmtId="0" fontId="1" fillId="0" borderId="2" xfId="3" applyNumberFormat="1" applyFont="1" applyFill="1" applyBorder="1" applyAlignment="1">
      <alignment horizontal="center" vertical="center"/>
    </xf>
    <xf numFmtId="0" fontId="1" fillId="0" borderId="4" xfId="3" applyFont="1" applyFill="1" applyBorder="1" applyAlignment="1">
      <alignment horizontal="center" vertical="center" wrapText="1"/>
    </xf>
    <xf numFmtId="0" fontId="1" fillId="0" borderId="2" xfId="3" applyFont="1" applyFill="1" applyBorder="1" applyAlignment="1">
      <alignment horizontal="center" vertical="center" wrapText="1"/>
    </xf>
    <xf numFmtId="4" fontId="24" fillId="0" borderId="13" xfId="0" applyNumberFormat="1" applyFont="1" applyFill="1" applyBorder="1" applyAlignment="1">
      <alignment horizontal="center" vertical="center"/>
    </xf>
    <xf numFmtId="4" fontId="24" fillId="0" borderId="12" xfId="0" applyNumberFormat="1" applyFont="1" applyFill="1" applyBorder="1" applyAlignment="1">
      <alignment horizontal="center" vertical="center"/>
    </xf>
    <xf numFmtId="4" fontId="24" fillId="0" borderId="11" xfId="0" applyNumberFormat="1" applyFont="1" applyFill="1" applyBorder="1" applyAlignment="1">
      <alignment horizontal="center" vertical="center"/>
    </xf>
    <xf numFmtId="4" fontId="24" fillId="8" borderId="13" xfId="0" applyNumberFormat="1" applyFont="1" applyFill="1" applyBorder="1" applyAlignment="1">
      <alignment horizontal="center" vertical="center"/>
    </xf>
    <xf numFmtId="4" fontId="24" fillId="8" borderId="12" xfId="0" applyNumberFormat="1" applyFont="1" applyFill="1" applyBorder="1" applyAlignment="1">
      <alignment horizontal="center" vertical="center"/>
    </xf>
    <xf numFmtId="4" fontId="24" fillId="8" borderId="11" xfId="0" applyNumberFormat="1" applyFont="1" applyFill="1" applyBorder="1" applyAlignment="1">
      <alignment horizontal="center" vertical="center"/>
    </xf>
    <xf numFmtId="4" fontId="13" fillId="0" borderId="13" xfId="0" applyNumberFormat="1" applyFont="1" applyFill="1" applyBorder="1" applyAlignment="1">
      <alignment horizontal="center" vertical="center"/>
    </xf>
    <xf numFmtId="4" fontId="13" fillId="0" borderId="12" xfId="0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/>
    </xf>
    <xf numFmtId="4" fontId="24" fillId="0" borderId="13" xfId="0" applyNumberFormat="1" applyFont="1" applyFill="1" applyBorder="1" applyAlignment="1">
      <alignment horizontal="left" vertical="center" wrapText="1"/>
    </xf>
    <xf numFmtId="4" fontId="24" fillId="0" borderId="12" xfId="0" applyNumberFormat="1" applyFont="1" applyFill="1" applyBorder="1" applyAlignment="1">
      <alignment horizontal="left" vertical="center" wrapText="1"/>
    </xf>
    <xf numFmtId="4" fontId="24" fillId="0" borderId="11" xfId="0" applyNumberFormat="1" applyFont="1" applyFill="1" applyBorder="1" applyAlignment="1">
      <alignment horizontal="left" vertical="center" wrapText="1"/>
    </xf>
    <xf numFmtId="4" fontId="24" fillId="0" borderId="13" xfId="0" applyNumberFormat="1" applyFont="1" applyFill="1" applyBorder="1" applyAlignment="1">
      <alignment horizontal="left" vertical="center"/>
    </xf>
    <xf numFmtId="4" fontId="24" fillId="0" borderId="12" xfId="0" applyNumberFormat="1" applyFont="1" applyFill="1" applyBorder="1" applyAlignment="1">
      <alignment horizontal="left" vertical="center"/>
    </xf>
    <xf numFmtId="4" fontId="24" fillId="0" borderId="11" xfId="0" applyNumberFormat="1" applyFont="1" applyFill="1" applyBorder="1" applyAlignment="1">
      <alignment horizontal="left" vertical="center"/>
    </xf>
    <xf numFmtId="4" fontId="13" fillId="8" borderId="13" xfId="0" applyNumberFormat="1" applyFont="1" applyFill="1" applyBorder="1" applyAlignment="1">
      <alignment horizontal="center" vertical="center"/>
    </xf>
    <xf numFmtId="4" fontId="13" fillId="8" borderId="12" xfId="0" applyNumberFormat="1" applyFont="1" applyFill="1" applyBorder="1" applyAlignment="1">
      <alignment horizontal="center" vertical="center"/>
    </xf>
    <xf numFmtId="4" fontId="13" fillId="8" borderId="11" xfId="0" applyNumberFormat="1" applyFont="1" applyFill="1" applyBorder="1" applyAlignment="1">
      <alignment horizontal="center" vertical="center"/>
    </xf>
    <xf numFmtId="164" fontId="13" fillId="0" borderId="13" xfId="0" applyNumberFormat="1" applyFont="1" applyFill="1" applyBorder="1" applyAlignment="1">
      <alignment horizontal="center" vertical="center"/>
    </xf>
    <xf numFmtId="164" fontId="13" fillId="0" borderId="12" xfId="0" applyNumberFormat="1" applyFont="1" applyFill="1" applyBorder="1" applyAlignment="1">
      <alignment horizontal="center" vertical="center"/>
    </xf>
    <xf numFmtId="164" fontId="13" fillId="0" borderId="11" xfId="0" applyNumberFormat="1" applyFont="1" applyFill="1" applyBorder="1" applyAlignment="1">
      <alignment horizontal="center" vertical="center"/>
    </xf>
    <xf numFmtId="164" fontId="13" fillId="0" borderId="13" xfId="0" applyNumberFormat="1" applyFont="1" applyFill="1" applyBorder="1" applyAlignment="1">
      <alignment horizontal="left" vertical="center" wrapText="1"/>
    </xf>
    <xf numFmtId="164" fontId="13" fillId="0" borderId="12" xfId="0" applyNumberFormat="1" applyFont="1" applyFill="1" applyBorder="1" applyAlignment="1">
      <alignment horizontal="left" vertical="center" wrapText="1"/>
    </xf>
    <xf numFmtId="164" fontId="13" fillId="0" borderId="11" xfId="0" applyNumberFormat="1" applyFont="1" applyFill="1" applyBorder="1" applyAlignment="1">
      <alignment horizontal="left" vertical="center" wrapText="1"/>
    </xf>
    <xf numFmtId="2" fontId="24" fillId="0" borderId="13" xfId="0" applyNumberFormat="1" applyFont="1" applyFill="1" applyBorder="1" applyAlignment="1">
      <alignment horizontal="left" vertical="center"/>
    </xf>
    <xf numFmtId="2" fontId="24" fillId="0" borderId="12" xfId="0" applyNumberFormat="1" applyFont="1" applyFill="1" applyBorder="1" applyAlignment="1">
      <alignment horizontal="left" vertical="center"/>
    </xf>
    <xf numFmtId="2" fontId="24" fillId="0" borderId="11" xfId="0" applyNumberFormat="1" applyFont="1" applyFill="1" applyBorder="1" applyAlignment="1">
      <alignment horizontal="left" vertical="center"/>
    </xf>
    <xf numFmtId="164" fontId="13" fillId="8" borderId="13" xfId="0" applyNumberFormat="1" applyFont="1" applyFill="1" applyBorder="1" applyAlignment="1">
      <alignment horizontal="center" vertical="center"/>
    </xf>
    <xf numFmtId="164" fontId="13" fillId="8" borderId="12" xfId="0" applyNumberFormat="1" applyFont="1" applyFill="1" applyBorder="1" applyAlignment="1">
      <alignment horizontal="center" vertical="center"/>
    </xf>
    <xf numFmtId="164" fontId="13" fillId="8" borderId="11" xfId="0" applyNumberFormat="1" applyFont="1" applyFill="1" applyBorder="1" applyAlignment="1">
      <alignment horizontal="center" vertical="center"/>
    </xf>
    <xf numFmtId="2" fontId="24" fillId="0" borderId="13" xfId="0" applyNumberFormat="1" applyFont="1" applyFill="1" applyBorder="1" applyAlignment="1">
      <alignment horizontal="left" vertical="center" wrapText="1"/>
    </xf>
    <xf numFmtId="2" fontId="24" fillId="0" borderId="12" xfId="0" applyNumberFormat="1" applyFont="1" applyFill="1" applyBorder="1" applyAlignment="1">
      <alignment horizontal="left" vertical="center" wrapText="1"/>
    </xf>
    <xf numFmtId="2" fontId="24" fillId="0" borderId="11" xfId="0" applyNumberFormat="1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wrapText="1"/>
    </xf>
    <xf numFmtId="0" fontId="24" fillId="0" borderId="12" xfId="0" applyFont="1" applyFill="1" applyBorder="1" applyAlignment="1">
      <alignment horizontal="left" wrapText="1"/>
    </xf>
    <xf numFmtId="0" fontId="24" fillId="0" borderId="11" xfId="0" applyFont="1" applyFill="1" applyBorder="1" applyAlignment="1">
      <alignment horizontal="left" wrapText="1"/>
    </xf>
    <xf numFmtId="4" fontId="13" fillId="0" borderId="10" xfId="3" applyNumberFormat="1" applyFont="1" applyFill="1" applyBorder="1" applyAlignment="1">
      <alignment horizontal="center" vertical="center" wrapText="1"/>
    </xf>
    <xf numFmtId="4" fontId="13" fillId="0" borderId="9" xfId="3" applyNumberFormat="1" applyFont="1" applyFill="1" applyBorder="1" applyAlignment="1">
      <alignment horizontal="center" vertical="center" wrapText="1"/>
    </xf>
    <xf numFmtId="4" fontId="13" fillId="0" borderId="8" xfId="3" applyNumberFormat="1" applyFont="1" applyFill="1" applyBorder="1" applyAlignment="1">
      <alignment horizontal="center" vertical="center" wrapText="1"/>
    </xf>
    <xf numFmtId="4" fontId="13" fillId="0" borderId="37" xfId="3" applyNumberFormat="1" applyFont="1" applyFill="1" applyBorder="1" applyAlignment="1">
      <alignment horizontal="center" vertical="center" wrapText="1"/>
    </xf>
    <xf numFmtId="4" fontId="13" fillId="0" borderId="0" xfId="3" applyNumberFormat="1" applyFont="1" applyFill="1" applyBorder="1" applyAlignment="1">
      <alignment horizontal="center" vertical="center" wrapText="1"/>
    </xf>
    <xf numFmtId="4" fontId="13" fillId="0" borderId="31" xfId="3" applyNumberFormat="1" applyFont="1" applyFill="1" applyBorder="1" applyAlignment="1">
      <alignment horizontal="center" vertical="center" wrapText="1"/>
    </xf>
    <xf numFmtId="164" fontId="12" fillId="8" borderId="13" xfId="0" applyNumberFormat="1" applyFont="1" applyFill="1" applyBorder="1" applyAlignment="1">
      <alignment horizontal="center" vertical="center"/>
    </xf>
    <xf numFmtId="164" fontId="12" fillId="8" borderId="12" xfId="0" applyNumberFormat="1" applyFont="1" applyFill="1" applyBorder="1" applyAlignment="1">
      <alignment horizontal="center" vertical="center"/>
    </xf>
    <xf numFmtId="164" fontId="12" fillId="8" borderId="11" xfId="0" applyNumberFormat="1" applyFont="1" applyFill="1" applyBorder="1" applyAlignment="1">
      <alignment horizontal="center" vertical="center"/>
    </xf>
    <xf numFmtId="4" fontId="13" fillId="0" borderId="13" xfId="3" applyNumberFormat="1" applyFont="1" applyFill="1" applyBorder="1" applyAlignment="1">
      <alignment horizontal="center" vertical="center"/>
    </xf>
    <xf numFmtId="4" fontId="13" fillId="0" borderId="12" xfId="3" applyNumberFormat="1" applyFont="1" applyFill="1" applyBorder="1" applyAlignment="1">
      <alignment horizontal="center" vertical="center"/>
    </xf>
    <xf numFmtId="4" fontId="13" fillId="0" borderId="11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/>
    </xf>
    <xf numFmtId="0" fontId="13" fillId="0" borderId="4" xfId="3" applyNumberFormat="1" applyFont="1" applyFill="1" applyBorder="1" applyAlignment="1">
      <alignment horizontal="center" vertical="center"/>
    </xf>
    <xf numFmtId="0" fontId="13" fillId="0" borderId="2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wrapText="1"/>
    </xf>
    <xf numFmtId="0" fontId="12" fillId="3" borderId="25" xfId="1" applyFont="1" applyFill="1" applyBorder="1" applyAlignment="1">
      <alignment horizontal="center" vertical="center"/>
    </xf>
    <xf numFmtId="0" fontId="12" fillId="3" borderId="27" xfId="1" applyFont="1" applyFill="1" applyBorder="1" applyAlignment="1">
      <alignment horizontal="center" vertical="center"/>
    </xf>
    <xf numFmtId="0" fontId="12" fillId="0" borderId="25" xfId="1" applyFont="1" applyBorder="1" applyAlignment="1">
      <alignment horizontal="left" vertical="center"/>
    </xf>
    <xf numFmtId="0" fontId="12" fillId="0" borderId="27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center" wrapText="1"/>
    </xf>
    <xf numFmtId="0" fontId="12" fillId="0" borderId="27" xfId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7" fillId="3" borderId="14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7" fillId="0" borderId="20" xfId="1" applyFont="1" applyBorder="1" applyAlignment="1">
      <alignment horizontal="left" vertical="center"/>
    </xf>
    <xf numFmtId="0" fontId="7" fillId="0" borderId="21" xfId="1" applyFont="1" applyBorder="1" applyAlignment="1">
      <alignment horizontal="left" vertical="center"/>
    </xf>
    <xf numFmtId="0" fontId="7" fillId="0" borderId="22" xfId="1" applyFont="1" applyBorder="1" applyAlignment="1">
      <alignment horizontal="left" vertical="center"/>
    </xf>
    <xf numFmtId="0" fontId="12" fillId="0" borderId="26" xfId="1" applyFont="1" applyBorder="1" applyAlignment="1">
      <alignment horizontal="left" vertical="center"/>
    </xf>
    <xf numFmtId="0" fontId="7" fillId="0" borderId="2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30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31" xfId="1" applyFont="1" applyBorder="1" applyAlignment="1">
      <alignment horizontal="left"/>
    </xf>
    <xf numFmtId="0" fontId="7" fillId="0" borderId="30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1" fillId="0" borderId="32" xfId="1" applyBorder="1" applyAlignment="1">
      <alignment horizontal="left" vertical="justify"/>
    </xf>
    <xf numFmtId="0" fontId="1" fillId="0" borderId="36" xfId="1" applyBorder="1" applyAlignment="1">
      <alignment horizontal="left" vertical="justify"/>
    </xf>
    <xf numFmtId="0" fontId="1" fillId="0" borderId="30" xfId="1" applyBorder="1" applyAlignment="1">
      <alignment horizontal="right"/>
    </xf>
    <xf numFmtId="0" fontId="1" fillId="0" borderId="0" xfId="1" applyAlignment="1">
      <alignment horizontal="right"/>
    </xf>
    <xf numFmtId="0" fontId="7" fillId="0" borderId="33" xfId="1" applyFont="1" applyBorder="1" applyAlignment="1">
      <alignment horizontal="left"/>
    </xf>
    <xf numFmtId="0" fontId="7" fillId="0" borderId="34" xfId="1" applyFont="1" applyBorder="1" applyAlignment="1">
      <alignment horizontal="left"/>
    </xf>
  </cellXfs>
  <cellStyles count="10">
    <cellStyle name="Normal" xfId="0" builtinId="0"/>
    <cellStyle name="Normal 2" xfId="1" xr:uid="{00000000-0005-0000-0000-000001000000}"/>
    <cellStyle name="Normal 2 2" xfId="6" xr:uid="{00000000-0005-0000-0000-000002000000}"/>
    <cellStyle name="Normal 3" xfId="2" xr:uid="{00000000-0005-0000-0000-000003000000}"/>
    <cellStyle name="Normal_Orçamento Jaboticatubas CP001-2008" xfId="5" xr:uid="{00000000-0005-0000-0000-000004000000}"/>
    <cellStyle name="Normal_Planilha Acréscimos e Decréscimos  - Vargem Flores - FINAL" xfId="3" xr:uid="{00000000-0005-0000-0000-000005000000}"/>
    <cellStyle name="Porcentagem 2" xfId="9" xr:uid="{00000000-0005-0000-0000-000006000000}"/>
    <cellStyle name="Separador de milhares 2" xfId="8" xr:uid="{00000000-0005-0000-0000-000007000000}"/>
    <cellStyle name="Separador de milhares 3" xfId="4" xr:uid="{00000000-0005-0000-0000-000008000000}"/>
    <cellStyle name="Vírgula" xfId="7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0</xdr:row>
          <xdr:rowOff>95250</xdr:rowOff>
        </xdr:from>
        <xdr:to>
          <xdr:col>1</xdr:col>
          <xdr:colOff>847725</xdr:colOff>
          <xdr:row>3</xdr:row>
          <xdr:rowOff>133350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0</xdr:row>
          <xdr:rowOff>95250</xdr:rowOff>
        </xdr:from>
        <xdr:to>
          <xdr:col>1</xdr:col>
          <xdr:colOff>847725</xdr:colOff>
          <xdr:row>3</xdr:row>
          <xdr:rowOff>133350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85725</xdr:rowOff>
        </xdr:from>
        <xdr:to>
          <xdr:col>0</xdr:col>
          <xdr:colOff>1404178</xdr:colOff>
          <xdr:row>3</xdr:row>
          <xdr:rowOff>171450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zoomScale="89" zoomScaleNormal="89" workbookViewId="0">
      <pane xSplit="2" ySplit="13" topLeftCell="C48" activePane="bottomRight" state="frozen"/>
      <selection pane="topRight" activeCell="C1" sqref="C1"/>
      <selection pane="bottomLeft" activeCell="A10" sqref="A10"/>
      <selection pane="bottomRight" activeCell="C49" sqref="C49"/>
    </sheetView>
  </sheetViews>
  <sheetFormatPr defaultRowHeight="15" x14ac:dyDescent="0.25"/>
  <cols>
    <col min="1" max="1" width="11.5703125" customWidth="1"/>
    <col min="2" max="2" width="13.5703125" customWidth="1"/>
    <col min="3" max="3" width="54.28515625" customWidth="1"/>
    <col min="4" max="4" width="8.42578125" customWidth="1"/>
    <col min="5" max="5" width="12.5703125" customWidth="1"/>
    <col min="6" max="6" width="11.7109375" customWidth="1"/>
    <col min="7" max="7" width="12.85546875" customWidth="1"/>
    <col min="8" max="8" width="14.85546875" customWidth="1"/>
  </cols>
  <sheetData>
    <row r="1" spans="1:8" ht="29.25" customHeight="1" x14ac:dyDescent="0.25">
      <c r="A1" s="155" t="s">
        <v>63</v>
      </c>
      <c r="B1" s="155"/>
      <c r="C1" s="155"/>
      <c r="D1" s="155"/>
      <c r="E1" s="155"/>
      <c r="F1" s="155"/>
      <c r="G1" s="155"/>
      <c r="H1" s="155"/>
    </row>
    <row r="2" spans="1:8" ht="16.5" customHeight="1" x14ac:dyDescent="0.25">
      <c r="A2" s="156" t="s">
        <v>62</v>
      </c>
      <c r="B2" s="156"/>
      <c r="C2" s="156"/>
      <c r="D2" s="156"/>
      <c r="E2" s="156"/>
      <c r="F2" s="156"/>
      <c r="G2" s="156"/>
      <c r="H2" s="156"/>
    </row>
    <row r="3" spans="1:8" ht="18.75" customHeight="1" x14ac:dyDescent="0.25">
      <c r="A3" s="156" t="s">
        <v>61</v>
      </c>
      <c r="B3" s="156"/>
      <c r="C3" s="156"/>
      <c r="D3" s="156"/>
      <c r="E3" s="156"/>
      <c r="F3" s="156"/>
      <c r="G3" s="156"/>
      <c r="H3" s="156"/>
    </row>
    <row r="4" spans="1:8" ht="18.75" customHeight="1" x14ac:dyDescent="0.25">
      <c r="A4" s="5"/>
      <c r="B4" s="5"/>
      <c r="C4" s="157" t="s">
        <v>60</v>
      </c>
      <c r="D4" s="157"/>
      <c r="E4" s="157"/>
      <c r="F4" s="157"/>
      <c r="G4" s="157"/>
      <c r="H4" s="157"/>
    </row>
    <row r="5" spans="1:8" ht="18.75" customHeight="1" x14ac:dyDescent="0.25">
      <c r="A5" s="43"/>
      <c r="B5" s="158" t="s">
        <v>59</v>
      </c>
      <c r="C5" s="158"/>
      <c r="D5" s="158"/>
      <c r="E5" s="158"/>
      <c r="F5" s="158"/>
      <c r="G5" s="158"/>
      <c r="H5" s="44"/>
    </row>
    <row r="6" spans="1:8" ht="35.25" customHeight="1" x14ac:dyDescent="0.25">
      <c r="A6" s="110" t="s">
        <v>58</v>
      </c>
      <c r="B6" s="154" t="s">
        <v>160</v>
      </c>
      <c r="C6" s="154"/>
      <c r="D6" s="45"/>
      <c r="E6" s="45"/>
      <c r="F6" s="46" t="s">
        <v>57</v>
      </c>
      <c r="G6" s="47">
        <v>45357</v>
      </c>
      <c r="H6" s="44"/>
    </row>
    <row r="7" spans="1:8" ht="35.25" customHeight="1" x14ac:dyDescent="0.25">
      <c r="A7" s="110" t="s">
        <v>184</v>
      </c>
      <c r="B7" s="154" t="s">
        <v>185</v>
      </c>
      <c r="C7" s="154"/>
      <c r="D7" s="154"/>
      <c r="E7" s="154"/>
      <c r="F7" s="108"/>
      <c r="G7" s="47"/>
      <c r="H7" s="44"/>
    </row>
    <row r="8" spans="1:8" ht="15.75" customHeight="1" x14ac:dyDescent="0.25">
      <c r="A8" s="161" t="s">
        <v>56</v>
      </c>
      <c r="B8" s="154"/>
      <c r="C8" s="40" t="s">
        <v>172</v>
      </c>
      <c r="D8" s="40"/>
      <c r="E8" s="40"/>
      <c r="F8" s="40" t="s">
        <v>215</v>
      </c>
      <c r="G8" s="48"/>
      <c r="H8" s="44"/>
    </row>
    <row r="9" spans="1:8" hidden="1" x14ac:dyDescent="0.25">
      <c r="A9" s="49"/>
      <c r="B9" s="50"/>
      <c r="C9" s="51"/>
      <c r="D9" s="50"/>
      <c r="E9" s="52"/>
      <c r="F9" s="52"/>
      <c r="G9" s="52"/>
      <c r="H9" s="52" t="s">
        <v>54</v>
      </c>
    </row>
    <row r="10" spans="1:8" ht="15" hidden="1" customHeight="1" x14ac:dyDescent="0.25">
      <c r="A10" s="162"/>
      <c r="B10" s="163"/>
      <c r="C10" s="163"/>
      <c r="D10" s="4"/>
      <c r="E10" s="164"/>
      <c r="F10" s="165"/>
      <c r="G10" s="165"/>
      <c r="H10" s="166"/>
    </row>
    <row r="11" spans="1:8" ht="21" hidden="1" customHeight="1" x14ac:dyDescent="0.25">
      <c r="A11" s="53"/>
      <c r="B11" s="3"/>
      <c r="C11" s="3"/>
      <c r="D11" s="3"/>
      <c r="E11" s="167"/>
      <c r="F11" s="168"/>
      <c r="G11" s="168"/>
      <c r="H11" s="169"/>
    </row>
    <row r="12" spans="1:8" ht="25.5" x14ac:dyDescent="0.25">
      <c r="A12" s="170" t="s">
        <v>53</v>
      </c>
      <c r="B12" s="170" t="s">
        <v>52</v>
      </c>
      <c r="C12" s="172" t="s">
        <v>51</v>
      </c>
      <c r="D12" s="174" t="s">
        <v>50</v>
      </c>
      <c r="E12" s="54" t="s">
        <v>49</v>
      </c>
      <c r="F12" s="54" t="s">
        <v>48</v>
      </c>
      <c r="G12" s="54" t="s">
        <v>48</v>
      </c>
      <c r="H12" s="54" t="s">
        <v>47</v>
      </c>
    </row>
    <row r="13" spans="1:8" ht="12.75" customHeight="1" x14ac:dyDescent="0.25">
      <c r="A13" s="171"/>
      <c r="B13" s="171"/>
      <c r="C13" s="173"/>
      <c r="D13" s="175"/>
      <c r="E13" s="55" t="s">
        <v>46</v>
      </c>
      <c r="F13" s="55" t="s">
        <v>45</v>
      </c>
      <c r="G13" s="55" t="s">
        <v>44</v>
      </c>
      <c r="H13" s="55" t="s">
        <v>43</v>
      </c>
    </row>
    <row r="14" spans="1:8" ht="21" customHeight="1" x14ac:dyDescent="0.25">
      <c r="A14" s="70"/>
      <c r="B14" s="71"/>
      <c r="C14" s="72" t="s">
        <v>183</v>
      </c>
      <c r="D14" s="73"/>
      <c r="E14" s="74"/>
      <c r="F14" s="75"/>
      <c r="G14" s="76"/>
      <c r="H14" s="77"/>
    </row>
    <row r="15" spans="1:8" x14ac:dyDescent="0.25">
      <c r="A15" s="70">
        <v>1</v>
      </c>
      <c r="B15" s="71"/>
      <c r="C15" s="72" t="s">
        <v>142</v>
      </c>
      <c r="D15" s="73"/>
      <c r="E15" s="74"/>
      <c r="F15" s="75"/>
      <c r="G15" s="76"/>
      <c r="H15" s="77"/>
    </row>
    <row r="16" spans="1:8" ht="25.5" x14ac:dyDescent="0.25">
      <c r="A16" s="59" t="s">
        <v>42</v>
      </c>
      <c r="B16" s="60" t="s">
        <v>90</v>
      </c>
      <c r="C16" s="61" t="s">
        <v>91</v>
      </c>
      <c r="D16" s="56" t="s">
        <v>6</v>
      </c>
      <c r="E16" s="57">
        <v>2.88</v>
      </c>
      <c r="F16" s="62">
        <v>250</v>
      </c>
      <c r="G16" s="63">
        <f>F16*1.2521</f>
        <v>313.02499999999998</v>
      </c>
      <c r="H16" s="62">
        <f>G16*E16</f>
        <v>901.51199999999994</v>
      </c>
    </row>
    <row r="17" spans="1:8" ht="38.25" x14ac:dyDescent="0.25">
      <c r="A17" s="64" t="s">
        <v>27</v>
      </c>
      <c r="B17" s="65" t="s">
        <v>41</v>
      </c>
      <c r="C17" s="66" t="s">
        <v>40</v>
      </c>
      <c r="D17" s="56" t="s">
        <v>39</v>
      </c>
      <c r="E17" s="57">
        <v>6</v>
      </c>
      <c r="F17" s="62">
        <v>981.3</v>
      </c>
      <c r="G17" s="63">
        <f>F17*1.2521</f>
        <v>1228.6857299999999</v>
      </c>
      <c r="H17" s="62">
        <f>G17*E17</f>
        <v>7372.1143799999991</v>
      </c>
    </row>
    <row r="18" spans="1:8" ht="26.25" customHeight="1" x14ac:dyDescent="0.25">
      <c r="A18" s="64" t="s">
        <v>143</v>
      </c>
      <c r="B18" s="65" t="s">
        <v>26</v>
      </c>
      <c r="C18" s="78" t="s">
        <v>25</v>
      </c>
      <c r="D18" s="56" t="s">
        <v>11</v>
      </c>
      <c r="E18" s="79">
        <v>20</v>
      </c>
      <c r="F18" s="80">
        <v>61.62</v>
      </c>
      <c r="G18" s="63">
        <f>F18*1.2521</f>
        <v>77.15440199999999</v>
      </c>
      <c r="H18" s="62">
        <f>G18*E18</f>
        <v>1543.0880399999999</v>
      </c>
    </row>
    <row r="19" spans="1:8" ht="37.5" customHeight="1" x14ac:dyDescent="0.25">
      <c r="A19" s="64" t="s">
        <v>144</v>
      </c>
      <c r="B19" s="64">
        <v>102279</v>
      </c>
      <c r="C19" s="78" t="s">
        <v>92</v>
      </c>
      <c r="D19" s="64" t="s">
        <v>7</v>
      </c>
      <c r="E19" s="79">
        <f>20*2.5*0.5</f>
        <v>25</v>
      </c>
      <c r="F19" s="80">
        <v>7.31</v>
      </c>
      <c r="G19" s="80">
        <f>F19*1.2521</f>
        <v>9.1528510000000001</v>
      </c>
      <c r="H19" s="80">
        <f>G19*E19</f>
        <v>228.82127500000001</v>
      </c>
    </row>
    <row r="20" spans="1:8" ht="26.25" customHeight="1" x14ac:dyDescent="0.25">
      <c r="A20" s="70"/>
      <c r="B20" s="71"/>
      <c r="C20" s="72" t="s">
        <v>5</v>
      </c>
      <c r="D20" s="73"/>
      <c r="E20" s="74"/>
      <c r="F20" s="75"/>
      <c r="G20" s="76"/>
      <c r="H20" s="77">
        <f>SUM(H16:H19)</f>
        <v>10045.535695</v>
      </c>
    </row>
    <row r="21" spans="1:8" ht="25.5" customHeight="1" x14ac:dyDescent="0.25">
      <c r="A21" s="70" t="s">
        <v>38</v>
      </c>
      <c r="B21" s="81"/>
      <c r="C21" s="72" t="s">
        <v>140</v>
      </c>
      <c r="D21" s="82"/>
      <c r="E21" s="83"/>
      <c r="F21" s="84"/>
      <c r="G21" s="85"/>
      <c r="H21" s="86"/>
    </row>
    <row r="22" spans="1:8" ht="45" customHeight="1" x14ac:dyDescent="0.25">
      <c r="A22" s="64" t="s">
        <v>37</v>
      </c>
      <c r="B22" s="65" t="s">
        <v>141</v>
      </c>
      <c r="C22" s="78" t="s">
        <v>167</v>
      </c>
      <c r="D22" s="56" t="s">
        <v>11</v>
      </c>
      <c r="E22" s="79">
        <f>42*3+7*2.5</f>
        <v>143.5</v>
      </c>
      <c r="F22" s="80">
        <v>64.61</v>
      </c>
      <c r="G22" s="63">
        <f t="shared" ref="G22:G28" si="0">F22*1.2521</f>
        <v>80.898180999999994</v>
      </c>
      <c r="H22" s="62">
        <f>G22*E22</f>
        <v>11608.888973499999</v>
      </c>
    </row>
    <row r="23" spans="1:8" ht="31.5" customHeight="1" x14ac:dyDescent="0.25">
      <c r="A23" s="64" t="s">
        <v>173</v>
      </c>
      <c r="B23" s="65" t="s">
        <v>35</v>
      </c>
      <c r="C23" s="78" t="s">
        <v>34</v>
      </c>
      <c r="D23" s="56" t="s">
        <v>7</v>
      </c>
      <c r="E23" s="79">
        <f>2.5*20*0.05</f>
        <v>2.5</v>
      </c>
      <c r="F23" s="87">
        <v>381.32</v>
      </c>
      <c r="G23" s="88">
        <f t="shared" si="0"/>
        <v>477.45077199999997</v>
      </c>
      <c r="H23" s="62">
        <f t="shared" ref="H23" si="1">G23*E23</f>
        <v>1193.6269299999999</v>
      </c>
    </row>
    <row r="24" spans="1:8" ht="42" customHeight="1" x14ac:dyDescent="0.25">
      <c r="A24" s="64" t="s">
        <v>174</v>
      </c>
      <c r="B24" s="65" t="s">
        <v>134</v>
      </c>
      <c r="C24" s="78" t="s">
        <v>133</v>
      </c>
      <c r="D24" s="56" t="s">
        <v>7</v>
      </c>
      <c r="E24" s="79">
        <f>20*2.5*0.5+4.06</f>
        <v>29.06</v>
      </c>
      <c r="F24" s="89">
        <v>751.58</v>
      </c>
      <c r="G24" s="89">
        <f t="shared" si="0"/>
        <v>941.05331799999999</v>
      </c>
      <c r="H24" s="62">
        <f>G24*E24</f>
        <v>27347.009421079998</v>
      </c>
    </row>
    <row r="25" spans="1:8" ht="42" customHeight="1" x14ac:dyDescent="0.25">
      <c r="A25" s="64" t="s">
        <v>175</v>
      </c>
      <c r="B25" s="65" t="s">
        <v>32</v>
      </c>
      <c r="C25" s="95" t="s">
        <v>171</v>
      </c>
      <c r="D25" s="56" t="s">
        <v>17</v>
      </c>
      <c r="E25" s="79">
        <v>240</v>
      </c>
      <c r="F25" s="89">
        <v>10.08</v>
      </c>
      <c r="G25" s="89">
        <f t="shared" si="0"/>
        <v>12.621168000000001</v>
      </c>
      <c r="H25" s="62">
        <f>G25*E25</f>
        <v>3029.08032</v>
      </c>
    </row>
    <row r="26" spans="1:8" ht="31.5" customHeight="1" x14ac:dyDescent="0.25">
      <c r="A26" s="64" t="s">
        <v>176</v>
      </c>
      <c r="B26" s="65" t="s">
        <v>83</v>
      </c>
      <c r="C26" s="78" t="s">
        <v>19</v>
      </c>
      <c r="D26" s="90" t="s">
        <v>17</v>
      </c>
      <c r="E26" s="79">
        <f>3281-E33</f>
        <v>1008</v>
      </c>
      <c r="F26" s="89">
        <v>8.42</v>
      </c>
      <c r="G26" s="89">
        <f t="shared" si="0"/>
        <v>10.542681999999999</v>
      </c>
      <c r="H26" s="62">
        <f t="shared" ref="H26:H28" si="2">G26*E26</f>
        <v>10627.023455999999</v>
      </c>
    </row>
    <row r="27" spans="1:8" ht="31.5" customHeight="1" x14ac:dyDescent="0.25">
      <c r="A27" s="64" t="s">
        <v>177</v>
      </c>
      <c r="B27" s="65" t="s">
        <v>81</v>
      </c>
      <c r="C27" s="78" t="s">
        <v>82</v>
      </c>
      <c r="D27" s="90" t="s">
        <v>17</v>
      </c>
      <c r="E27" s="79">
        <f>71.5+55</f>
        <v>126.5</v>
      </c>
      <c r="F27" s="89">
        <v>12.63</v>
      </c>
      <c r="G27" s="89">
        <f t="shared" si="0"/>
        <v>15.814023000000001</v>
      </c>
      <c r="H27" s="62">
        <f t="shared" si="2"/>
        <v>2000.4739095</v>
      </c>
    </row>
    <row r="28" spans="1:8" ht="45" customHeight="1" x14ac:dyDescent="0.25">
      <c r="A28" s="64" t="s">
        <v>178</v>
      </c>
      <c r="B28" s="65" t="s">
        <v>23</v>
      </c>
      <c r="C28" s="78" t="s">
        <v>22</v>
      </c>
      <c r="D28" s="56" t="s">
        <v>6</v>
      </c>
      <c r="E28" s="79">
        <f>0.5*20*2</f>
        <v>20</v>
      </c>
      <c r="F28" s="88">
        <v>57.31</v>
      </c>
      <c r="G28" s="88">
        <f t="shared" si="0"/>
        <v>71.757851000000002</v>
      </c>
      <c r="H28" s="62">
        <f t="shared" si="2"/>
        <v>1435.1570200000001</v>
      </c>
    </row>
    <row r="29" spans="1:8" ht="31.5" customHeight="1" x14ac:dyDescent="0.25">
      <c r="A29" s="70"/>
      <c r="B29" s="71"/>
      <c r="C29" s="72" t="s">
        <v>5</v>
      </c>
      <c r="D29" s="91"/>
      <c r="E29" s="74"/>
      <c r="F29" s="92"/>
      <c r="G29" s="92"/>
      <c r="H29" s="77">
        <f>SUM(H22:H28)</f>
        <v>57241.260030079997</v>
      </c>
    </row>
    <row r="30" spans="1:8" ht="31.5" customHeight="1" x14ac:dyDescent="0.25">
      <c r="A30" s="70" t="s">
        <v>148</v>
      </c>
      <c r="B30" s="81"/>
      <c r="C30" s="72" t="s">
        <v>145</v>
      </c>
      <c r="D30" s="82"/>
      <c r="E30" s="83"/>
      <c r="F30" s="84"/>
      <c r="G30" s="85"/>
      <c r="H30" s="86"/>
    </row>
    <row r="31" spans="1:8" ht="44.25" customHeight="1" x14ac:dyDescent="0.25">
      <c r="A31" s="64" t="s">
        <v>24</v>
      </c>
      <c r="B31" s="65" t="s">
        <v>23</v>
      </c>
      <c r="C31" s="78" t="s">
        <v>22</v>
      </c>
      <c r="D31" s="56" t="s">
        <v>6</v>
      </c>
      <c r="E31" s="79">
        <f>3.5*20*2</f>
        <v>140</v>
      </c>
      <c r="F31" s="88">
        <v>57.31</v>
      </c>
      <c r="G31" s="88">
        <f t="shared" ref="G31:G40" si="3">F31*1.2521</f>
        <v>71.757851000000002</v>
      </c>
      <c r="H31" s="62">
        <f t="shared" ref="H31" si="4">G31*E31</f>
        <v>10046.09914</v>
      </c>
    </row>
    <row r="32" spans="1:8" ht="45.75" customHeight="1" x14ac:dyDescent="0.25">
      <c r="A32" s="64" t="s">
        <v>36</v>
      </c>
      <c r="B32" s="65" t="s">
        <v>134</v>
      </c>
      <c r="C32" s="78" t="s">
        <v>133</v>
      </c>
      <c r="D32" s="56" t="s">
        <v>7</v>
      </c>
      <c r="E32" s="79">
        <f>1.14*20</f>
        <v>22.799999999999997</v>
      </c>
      <c r="F32" s="89">
        <v>416.5</v>
      </c>
      <c r="G32" s="89">
        <f t="shared" si="3"/>
        <v>521.49964999999997</v>
      </c>
      <c r="H32" s="62">
        <f>G32*E32</f>
        <v>11890.192019999999</v>
      </c>
    </row>
    <row r="33" spans="1:8" ht="31.5" customHeight="1" x14ac:dyDescent="0.25">
      <c r="A33" s="64" t="s">
        <v>21</v>
      </c>
      <c r="B33" s="65" t="s">
        <v>83</v>
      </c>
      <c r="C33" s="78" t="s">
        <v>19</v>
      </c>
      <c r="D33" s="90" t="s">
        <v>17</v>
      </c>
      <c r="E33" s="79">
        <v>2273</v>
      </c>
      <c r="F33" s="89">
        <v>8.42</v>
      </c>
      <c r="G33" s="89">
        <f t="shared" si="3"/>
        <v>10.542681999999999</v>
      </c>
      <c r="H33" s="62">
        <f t="shared" ref="H33:H37" si="5">G33*E33</f>
        <v>23963.516185999997</v>
      </c>
    </row>
    <row r="34" spans="1:8" ht="31.5" customHeight="1" x14ac:dyDescent="0.25">
      <c r="A34" s="64" t="s">
        <v>20</v>
      </c>
      <c r="B34" s="65" t="s">
        <v>170</v>
      </c>
      <c r="C34" s="78" t="s">
        <v>169</v>
      </c>
      <c r="D34" s="90" t="s">
        <v>17</v>
      </c>
      <c r="E34" s="79">
        <v>905</v>
      </c>
      <c r="F34" s="89">
        <v>8.24</v>
      </c>
      <c r="G34" s="89">
        <f t="shared" si="3"/>
        <v>10.317304</v>
      </c>
      <c r="H34" s="62">
        <f t="shared" ref="H34" si="6">G34*E34</f>
        <v>9337.1601200000005</v>
      </c>
    </row>
    <row r="35" spans="1:8" ht="65.25" customHeight="1" x14ac:dyDescent="0.25">
      <c r="A35" s="64" t="s">
        <v>18</v>
      </c>
      <c r="B35" s="41" t="s">
        <v>154</v>
      </c>
      <c r="C35" s="42" t="s">
        <v>155</v>
      </c>
      <c r="D35" s="41" t="s">
        <v>11</v>
      </c>
      <c r="E35" s="93">
        <f>3.5</f>
        <v>3.5</v>
      </c>
      <c r="F35" s="80">
        <v>60.07</v>
      </c>
      <c r="G35" s="63">
        <f t="shared" si="3"/>
        <v>75.213646999999995</v>
      </c>
      <c r="H35" s="62">
        <f t="shared" si="5"/>
        <v>263.24776449999996</v>
      </c>
    </row>
    <row r="36" spans="1:8" ht="44.25" customHeight="1" x14ac:dyDescent="0.25">
      <c r="A36" s="64" t="s">
        <v>149</v>
      </c>
      <c r="B36" s="94" t="s">
        <v>156</v>
      </c>
      <c r="C36" s="95" t="s">
        <v>157</v>
      </c>
      <c r="D36" s="56" t="s">
        <v>6</v>
      </c>
      <c r="E36" s="79">
        <f>3.5*20</f>
        <v>70</v>
      </c>
      <c r="F36" s="80">
        <v>10.76</v>
      </c>
      <c r="G36" s="63">
        <f t="shared" si="3"/>
        <v>13.472595999999999</v>
      </c>
      <c r="H36" s="62">
        <f t="shared" si="5"/>
        <v>943.0817199999999</v>
      </c>
    </row>
    <row r="37" spans="1:8" ht="31.5" customHeight="1" x14ac:dyDescent="0.25">
      <c r="A37" s="64" t="s">
        <v>179</v>
      </c>
      <c r="B37" s="65" t="s">
        <v>146</v>
      </c>
      <c r="C37" s="78" t="s">
        <v>147</v>
      </c>
      <c r="D37" s="56" t="s">
        <v>7</v>
      </c>
      <c r="E37" s="79">
        <f>20*3.5*0.3</f>
        <v>21</v>
      </c>
      <c r="F37" s="80">
        <v>165.18</v>
      </c>
      <c r="G37" s="63">
        <f t="shared" si="3"/>
        <v>206.821878</v>
      </c>
      <c r="H37" s="62">
        <f t="shared" si="5"/>
        <v>4343.259438</v>
      </c>
    </row>
    <row r="38" spans="1:8" ht="31.5" customHeight="1" x14ac:dyDescent="0.25">
      <c r="A38" s="64" t="s">
        <v>180</v>
      </c>
      <c r="B38" s="65" t="s">
        <v>84</v>
      </c>
      <c r="C38" s="78" t="s">
        <v>85</v>
      </c>
      <c r="D38" s="90" t="s">
        <v>11</v>
      </c>
      <c r="E38" s="79">
        <v>18</v>
      </c>
      <c r="F38" s="89">
        <v>18.260000000000002</v>
      </c>
      <c r="G38" s="89">
        <f t="shared" si="3"/>
        <v>22.863346000000003</v>
      </c>
      <c r="H38" s="62">
        <f>E38*G38</f>
        <v>411.54022800000007</v>
      </c>
    </row>
    <row r="39" spans="1:8" ht="38.25" customHeight="1" x14ac:dyDescent="0.25">
      <c r="A39" s="64" t="s">
        <v>181</v>
      </c>
      <c r="B39" s="41" t="s">
        <v>163</v>
      </c>
      <c r="C39" s="42" t="s">
        <v>164</v>
      </c>
      <c r="D39" s="90" t="s">
        <v>7</v>
      </c>
      <c r="E39" s="79">
        <f>1.2*3.5*20</f>
        <v>84</v>
      </c>
      <c r="F39" s="89">
        <v>11.27</v>
      </c>
      <c r="G39" s="89">
        <f t="shared" si="3"/>
        <v>14.111167</v>
      </c>
      <c r="H39" s="62">
        <f>E39*G39</f>
        <v>1185.3380279999999</v>
      </c>
    </row>
    <row r="40" spans="1:8" ht="78" customHeight="1" x14ac:dyDescent="0.25">
      <c r="A40" s="64" t="s">
        <v>182</v>
      </c>
      <c r="B40" s="41" t="s">
        <v>165</v>
      </c>
      <c r="C40" s="42" t="s">
        <v>166</v>
      </c>
      <c r="D40" s="90" t="s">
        <v>7</v>
      </c>
      <c r="E40" s="79">
        <f>E39</f>
        <v>84</v>
      </c>
      <c r="F40" s="89">
        <v>11.29</v>
      </c>
      <c r="G40" s="89">
        <f t="shared" si="3"/>
        <v>14.136208999999999</v>
      </c>
      <c r="H40" s="62">
        <f>E40*G40</f>
        <v>1187.441556</v>
      </c>
    </row>
    <row r="41" spans="1:8" ht="31.5" customHeight="1" x14ac:dyDescent="0.25">
      <c r="A41" s="96"/>
      <c r="B41" s="81"/>
      <c r="C41" s="72" t="s">
        <v>5</v>
      </c>
      <c r="D41" s="82"/>
      <c r="E41" s="83"/>
      <c r="F41" s="84"/>
      <c r="G41" s="85"/>
      <c r="H41" s="77">
        <f>SUM(H31:H40)</f>
        <v>63570.876200500003</v>
      </c>
    </row>
    <row r="42" spans="1:8" ht="27.75" customHeight="1" x14ac:dyDescent="0.25">
      <c r="A42" s="111" t="s">
        <v>150</v>
      </c>
      <c r="B42" s="112"/>
      <c r="C42" s="113" t="s">
        <v>168</v>
      </c>
      <c r="D42" s="114"/>
      <c r="E42" s="115"/>
      <c r="F42" s="116"/>
      <c r="G42" s="116"/>
      <c r="H42" s="86"/>
    </row>
    <row r="43" spans="1:8" ht="48" customHeight="1" x14ac:dyDescent="0.25">
      <c r="A43" s="99" t="s">
        <v>16</v>
      </c>
      <c r="B43" s="65" t="s">
        <v>103</v>
      </c>
      <c r="C43" s="78" t="s">
        <v>104</v>
      </c>
      <c r="D43" s="56" t="s">
        <v>7</v>
      </c>
      <c r="E43" s="79">
        <f>'MEMORIA DE CALCULO'!E4</f>
        <v>0.99</v>
      </c>
      <c r="F43" s="89">
        <v>480.49</v>
      </c>
      <c r="G43" s="89">
        <f t="shared" ref="G43:G50" si="7">F43*1.2521</f>
        <v>601.62152900000001</v>
      </c>
      <c r="H43" s="62">
        <f>G43*E43</f>
        <v>595.60531371000002</v>
      </c>
    </row>
    <row r="44" spans="1:8" ht="29.25" customHeight="1" x14ac:dyDescent="0.25">
      <c r="A44" s="99" t="s">
        <v>15</v>
      </c>
      <c r="B44" s="65" t="s">
        <v>114</v>
      </c>
      <c r="C44" s="78" t="s">
        <v>113</v>
      </c>
      <c r="D44" s="90" t="s">
        <v>17</v>
      </c>
      <c r="E44" s="79">
        <f>'MEMORIA DE CALCULO'!D13</f>
        <v>34.760000000000005</v>
      </c>
      <c r="F44" s="89">
        <v>11.2</v>
      </c>
      <c r="G44" s="89">
        <f t="shared" si="7"/>
        <v>14.02352</v>
      </c>
      <c r="H44" s="62">
        <f>G44*E44</f>
        <v>487.45755520000006</v>
      </c>
    </row>
    <row r="45" spans="1:8" ht="29.25" customHeight="1" x14ac:dyDescent="0.25">
      <c r="A45" s="99" t="s">
        <v>33</v>
      </c>
      <c r="B45" s="65" t="s">
        <v>32</v>
      </c>
      <c r="C45" s="78" t="s">
        <v>87</v>
      </c>
      <c r="D45" s="90" t="s">
        <v>17</v>
      </c>
      <c r="E45" s="79">
        <f>'MEMORIA DE CALCULO'!C13</f>
        <v>23.890240000000006</v>
      </c>
      <c r="F45" s="89">
        <v>9.99</v>
      </c>
      <c r="G45" s="89">
        <f t="shared" si="7"/>
        <v>12.508478999999999</v>
      </c>
      <c r="H45" s="62">
        <f>G45*E45</f>
        <v>298.83056534496006</v>
      </c>
    </row>
    <row r="46" spans="1:8" ht="32.25" customHeight="1" x14ac:dyDescent="0.25">
      <c r="A46" s="99" t="s">
        <v>12</v>
      </c>
      <c r="B46" s="65" t="s">
        <v>81</v>
      </c>
      <c r="C46" s="78" t="s">
        <v>86</v>
      </c>
      <c r="D46" s="90" t="s">
        <v>17</v>
      </c>
      <c r="E46" s="79">
        <f>'MEMORIA DE CALCULO'!E13</f>
        <v>11.464992000000002</v>
      </c>
      <c r="F46" s="89">
        <v>12.63</v>
      </c>
      <c r="G46" s="89">
        <f t="shared" si="7"/>
        <v>15.814023000000001</v>
      </c>
      <c r="H46" s="62">
        <f>G46*E46</f>
        <v>181.30764718281605</v>
      </c>
    </row>
    <row r="47" spans="1:8" ht="49.5" customHeight="1" x14ac:dyDescent="0.25">
      <c r="A47" s="99" t="s">
        <v>97</v>
      </c>
      <c r="B47" s="65" t="s">
        <v>31</v>
      </c>
      <c r="C47" s="78" t="s">
        <v>30</v>
      </c>
      <c r="D47" s="56" t="s">
        <v>6</v>
      </c>
      <c r="E47" s="79">
        <v>20.5</v>
      </c>
      <c r="F47" s="89">
        <v>76.319999999999993</v>
      </c>
      <c r="G47" s="89">
        <f t="shared" si="7"/>
        <v>95.560271999999998</v>
      </c>
      <c r="H47" s="62">
        <f>E47*F47</f>
        <v>1564.56</v>
      </c>
    </row>
    <row r="48" spans="1:8" ht="29.25" customHeight="1" x14ac:dyDescent="0.25">
      <c r="A48" s="99" t="s">
        <v>98</v>
      </c>
      <c r="B48" s="65" t="s">
        <v>14</v>
      </c>
      <c r="C48" s="78" t="s">
        <v>13</v>
      </c>
      <c r="D48" s="90" t="s">
        <v>6</v>
      </c>
      <c r="E48" s="79">
        <f>20*1.1*2</f>
        <v>44</v>
      </c>
      <c r="F48" s="89">
        <v>5.47</v>
      </c>
      <c r="G48" s="89">
        <f t="shared" si="7"/>
        <v>6.8489869999999993</v>
      </c>
      <c r="H48" s="62">
        <f>G48*E48</f>
        <v>301.35542799999996</v>
      </c>
    </row>
    <row r="49" spans="1:8" ht="44.25" customHeight="1" x14ac:dyDescent="0.25">
      <c r="A49" s="99" t="s">
        <v>99</v>
      </c>
      <c r="B49" s="65" t="s">
        <v>116</v>
      </c>
      <c r="C49" s="78" t="s">
        <v>117</v>
      </c>
      <c r="D49" s="90" t="s">
        <v>6</v>
      </c>
      <c r="E49" s="79">
        <f>20*1.1*2</f>
        <v>44</v>
      </c>
      <c r="F49" s="89">
        <v>17.04</v>
      </c>
      <c r="G49" s="89">
        <f t="shared" si="7"/>
        <v>21.335784</v>
      </c>
      <c r="H49" s="62">
        <f>G49*E49</f>
        <v>938.774496</v>
      </c>
    </row>
    <row r="50" spans="1:8" ht="29.25" customHeight="1" x14ac:dyDescent="0.25">
      <c r="A50" s="99" t="s">
        <v>100</v>
      </c>
      <c r="B50" s="65" t="s">
        <v>88</v>
      </c>
      <c r="C50" s="78" t="s">
        <v>89</v>
      </c>
      <c r="D50" s="90" t="s">
        <v>6</v>
      </c>
      <c r="E50" s="79">
        <f>E48</f>
        <v>44</v>
      </c>
      <c r="F50" s="89">
        <v>1.0900000000000001</v>
      </c>
      <c r="G50" s="89">
        <f t="shared" si="7"/>
        <v>1.364789</v>
      </c>
      <c r="H50" s="62">
        <f>G50*E50</f>
        <v>60.050716000000001</v>
      </c>
    </row>
    <row r="51" spans="1:8" ht="18.75" customHeight="1" x14ac:dyDescent="0.25">
      <c r="A51" s="100"/>
      <c r="B51" s="101"/>
      <c r="C51" s="67" t="s">
        <v>5</v>
      </c>
      <c r="D51" s="102"/>
      <c r="E51" s="68"/>
      <c r="F51" s="103"/>
      <c r="G51" s="103"/>
      <c r="H51" s="69">
        <f>SUM(H43:H50)</f>
        <v>4427.9417214377754</v>
      </c>
    </row>
    <row r="52" spans="1:8" ht="21" customHeight="1" x14ac:dyDescent="0.25">
      <c r="A52" s="70" t="s">
        <v>93</v>
      </c>
      <c r="B52" s="72" t="s">
        <v>10</v>
      </c>
      <c r="C52" s="72" t="s">
        <v>9</v>
      </c>
      <c r="D52" s="83"/>
      <c r="E52" s="83"/>
      <c r="F52" s="117"/>
      <c r="G52" s="117"/>
      <c r="H52" s="86"/>
    </row>
    <row r="53" spans="1:8" ht="51.75" x14ac:dyDescent="0.25">
      <c r="A53" s="99" t="s">
        <v>8</v>
      </c>
      <c r="B53" s="41" t="s">
        <v>158</v>
      </c>
      <c r="C53" s="42" t="s">
        <v>159</v>
      </c>
      <c r="D53" s="41" t="s">
        <v>6</v>
      </c>
      <c r="E53" s="97">
        <f>20*1</f>
        <v>20</v>
      </c>
      <c r="F53" s="98">
        <v>491.94</v>
      </c>
      <c r="G53" s="98">
        <f>F53*1.2521</f>
        <v>615.95807400000001</v>
      </c>
      <c r="H53" s="62">
        <f>G53*E53</f>
        <v>12319.161480000001</v>
      </c>
    </row>
    <row r="54" spans="1:8" ht="64.5" x14ac:dyDescent="0.25">
      <c r="A54" s="99" t="s">
        <v>94</v>
      </c>
      <c r="B54" s="41" t="s">
        <v>161</v>
      </c>
      <c r="C54" s="42" t="s">
        <v>162</v>
      </c>
      <c r="D54" s="41" t="s">
        <v>11</v>
      </c>
      <c r="E54" s="97">
        <v>20</v>
      </c>
      <c r="F54" s="98">
        <v>71.17</v>
      </c>
      <c r="G54" s="98">
        <f>F54*1.2521</f>
        <v>89.111957000000004</v>
      </c>
      <c r="H54" s="62">
        <f>G54*E54</f>
        <v>1782.2391400000001</v>
      </c>
    </row>
    <row r="55" spans="1:8" ht="24.75" customHeight="1" x14ac:dyDescent="0.25">
      <c r="A55" s="64" t="s">
        <v>95</v>
      </c>
      <c r="B55" s="65" t="s">
        <v>29</v>
      </c>
      <c r="C55" s="78" t="s">
        <v>28</v>
      </c>
      <c r="D55" s="90" t="s">
        <v>6</v>
      </c>
      <c r="E55" s="79">
        <f>20*1.5</f>
        <v>30</v>
      </c>
      <c r="F55" s="89">
        <v>2.93</v>
      </c>
      <c r="G55" s="89">
        <f>F55*1.2521</f>
        <v>3.6686530000000004</v>
      </c>
      <c r="H55" s="62">
        <f>E55*F55</f>
        <v>87.9</v>
      </c>
    </row>
    <row r="56" spans="1:8" ht="17.25" customHeight="1" x14ac:dyDescent="0.25">
      <c r="A56" s="64"/>
      <c r="B56" s="105"/>
      <c r="C56" s="104" t="s">
        <v>5</v>
      </c>
      <c r="D56" s="90"/>
      <c r="E56" s="79"/>
      <c r="F56" s="89"/>
      <c r="G56" s="89"/>
      <c r="H56" s="58">
        <f>SUM(H53:H55)</f>
        <v>14189.30062</v>
      </c>
    </row>
    <row r="57" spans="1:8" ht="27.75" customHeight="1" x14ac:dyDescent="0.25">
      <c r="A57" s="106"/>
      <c r="B57" s="106"/>
      <c r="C57" s="67" t="s">
        <v>96</v>
      </c>
      <c r="D57" s="106"/>
      <c r="E57" s="106"/>
      <c r="F57" s="106"/>
      <c r="G57" s="106"/>
      <c r="H57" s="107">
        <f>H56+H51+H41+H29+H20</f>
        <v>149474.91426701777</v>
      </c>
    </row>
    <row r="58" spans="1:8" ht="48.75" customHeight="1" x14ac:dyDescent="0.25"/>
    <row r="59" spans="1:8" x14ac:dyDescent="0.25">
      <c r="B59" s="2" t="s">
        <v>4</v>
      </c>
      <c r="C59" s="6"/>
      <c r="D59" s="159" t="s">
        <v>3</v>
      </c>
      <c r="E59" s="159"/>
      <c r="F59" s="159"/>
    </row>
    <row r="60" spans="1:8" x14ac:dyDescent="0.25">
      <c r="B60" s="1" t="s">
        <v>2</v>
      </c>
      <c r="D60" s="160" t="s">
        <v>1</v>
      </c>
      <c r="E60" s="160"/>
      <c r="F60" s="160"/>
    </row>
    <row r="61" spans="1:8" x14ac:dyDescent="0.25">
      <c r="B61" s="1" t="s">
        <v>0</v>
      </c>
      <c r="D61" s="160"/>
      <c r="E61" s="160"/>
      <c r="F61" s="160"/>
    </row>
  </sheetData>
  <mergeCells count="17">
    <mergeCell ref="D59:F59"/>
    <mergeCell ref="D60:F60"/>
    <mergeCell ref="D61:F61"/>
    <mergeCell ref="A8:B8"/>
    <mergeCell ref="A10:C10"/>
    <mergeCell ref="E10:H11"/>
    <mergeCell ref="A12:A13"/>
    <mergeCell ref="B12:B13"/>
    <mergeCell ref="C12:C13"/>
    <mergeCell ref="D12:D13"/>
    <mergeCell ref="B7:E7"/>
    <mergeCell ref="B6:C6"/>
    <mergeCell ref="A1:H1"/>
    <mergeCell ref="A2:H2"/>
    <mergeCell ref="A3:H3"/>
    <mergeCell ref="C4:H4"/>
    <mergeCell ref="B5:G5"/>
  </mergeCells>
  <phoneticPr fontId="17" type="noConversion"/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  <legacyDrawing r:id="rId3"/>
  <oleObjects>
    <mc:AlternateContent xmlns:mc="http://schemas.openxmlformats.org/markup-compatibility/2006">
      <mc:Choice Requires="x14">
        <oleObject progId="CorelDRAW.Graphic.11" shapeId="3073" r:id="rId4">
          <objectPr defaultSize="0" autoPict="0" r:id="rId5">
            <anchor moveWithCells="1" sizeWithCells="1">
              <from>
                <xdr:col>0</xdr:col>
                <xdr:colOff>400050</xdr:colOff>
                <xdr:row>0</xdr:row>
                <xdr:rowOff>95250</xdr:rowOff>
              </from>
              <to>
                <xdr:col>1</xdr:col>
                <xdr:colOff>847725</xdr:colOff>
                <xdr:row>3</xdr:row>
                <xdr:rowOff>133350</xdr:rowOff>
              </to>
            </anchor>
          </objectPr>
        </oleObject>
      </mc:Choice>
      <mc:Fallback>
        <oleObject progId="CorelDRAW.Graphic.11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D21C-69E6-490A-B803-C649FC907B98}">
  <dimension ref="A1:J55"/>
  <sheetViews>
    <sheetView zoomScale="89" zoomScaleNormal="89" workbookViewId="0">
      <pane xSplit="2" ySplit="13" topLeftCell="C14" activePane="bottomRight" state="frozen"/>
      <selection pane="topRight" activeCell="C1" sqref="C1"/>
      <selection pane="bottomLeft" activeCell="A10" sqref="A10"/>
      <selection pane="bottomRight" activeCell="C53" sqref="C53"/>
    </sheetView>
  </sheetViews>
  <sheetFormatPr defaultRowHeight="15" x14ac:dyDescent="0.25"/>
  <cols>
    <col min="1" max="1" width="11.5703125" customWidth="1"/>
    <col min="2" max="2" width="13.5703125" customWidth="1"/>
    <col min="3" max="3" width="54.28515625" customWidth="1"/>
    <col min="4" max="4" width="8.42578125" customWidth="1"/>
    <col min="5" max="5" width="12.5703125" customWidth="1"/>
    <col min="6" max="6" width="11.7109375" customWidth="1"/>
    <col min="7" max="7" width="12.85546875" customWidth="1"/>
    <col min="8" max="8" width="14.85546875" customWidth="1"/>
  </cols>
  <sheetData>
    <row r="1" spans="1:8" ht="29.25" customHeight="1" x14ac:dyDescent="0.25">
      <c r="A1" s="155" t="s">
        <v>63</v>
      </c>
      <c r="B1" s="155"/>
      <c r="C1" s="155"/>
      <c r="D1" s="155"/>
      <c r="E1" s="155"/>
      <c r="F1" s="155"/>
      <c r="G1" s="155"/>
      <c r="H1" s="155"/>
    </row>
    <row r="2" spans="1:8" ht="16.5" customHeight="1" x14ac:dyDescent="0.25">
      <c r="A2" s="156" t="s">
        <v>62</v>
      </c>
      <c r="B2" s="156"/>
      <c r="C2" s="156"/>
      <c r="D2" s="156"/>
      <c r="E2" s="156"/>
      <c r="F2" s="156"/>
      <c r="G2" s="156"/>
      <c r="H2" s="156"/>
    </row>
    <row r="3" spans="1:8" ht="18.75" customHeight="1" x14ac:dyDescent="0.25">
      <c r="A3" s="156" t="s">
        <v>61</v>
      </c>
      <c r="B3" s="156"/>
      <c r="C3" s="156"/>
      <c r="D3" s="156"/>
      <c r="E3" s="156"/>
      <c r="F3" s="156"/>
      <c r="G3" s="156"/>
      <c r="H3" s="156"/>
    </row>
    <row r="4" spans="1:8" ht="18.75" customHeight="1" x14ac:dyDescent="0.25">
      <c r="A4" s="109"/>
      <c r="B4" s="109"/>
      <c r="C4" s="157" t="s">
        <v>60</v>
      </c>
      <c r="D4" s="157"/>
      <c r="E4" s="157"/>
      <c r="F4" s="157"/>
      <c r="G4" s="157"/>
      <c r="H4" s="157"/>
    </row>
    <row r="5" spans="1:8" ht="18.75" customHeight="1" x14ac:dyDescent="0.25">
      <c r="A5" s="43"/>
      <c r="B5" s="158" t="s">
        <v>59</v>
      </c>
      <c r="C5" s="158"/>
      <c r="D5" s="158"/>
      <c r="E5" s="158"/>
      <c r="F5" s="158"/>
      <c r="G5" s="158"/>
      <c r="H5" s="44"/>
    </row>
    <row r="6" spans="1:8" ht="35.25" customHeight="1" x14ac:dyDescent="0.25">
      <c r="A6" s="110" t="s">
        <v>58</v>
      </c>
      <c r="B6" s="154" t="s">
        <v>160</v>
      </c>
      <c r="C6" s="154"/>
      <c r="D6" s="45"/>
      <c r="E6" s="45"/>
      <c r="F6" s="108" t="s">
        <v>57</v>
      </c>
      <c r="G6" s="47">
        <v>45357</v>
      </c>
      <c r="H6" s="44"/>
    </row>
    <row r="7" spans="1:8" ht="35.25" customHeight="1" x14ac:dyDescent="0.25">
      <c r="A7" s="110" t="s">
        <v>184</v>
      </c>
      <c r="B7" s="154" t="s">
        <v>185</v>
      </c>
      <c r="C7" s="154"/>
      <c r="D7" s="154"/>
      <c r="E7" s="154"/>
      <c r="F7" s="108"/>
      <c r="G7" s="47"/>
      <c r="H7" s="44"/>
    </row>
    <row r="8" spans="1:8" ht="15.75" customHeight="1" x14ac:dyDescent="0.25">
      <c r="A8" s="161" t="s">
        <v>56</v>
      </c>
      <c r="B8" s="154"/>
      <c r="C8" s="40" t="s">
        <v>172</v>
      </c>
      <c r="D8" s="40"/>
      <c r="E8" s="40"/>
      <c r="F8" s="40" t="s">
        <v>55</v>
      </c>
      <c r="G8" s="48"/>
      <c r="H8" s="44"/>
    </row>
    <row r="9" spans="1:8" hidden="1" x14ac:dyDescent="0.25">
      <c r="A9" s="49"/>
      <c r="B9" s="50"/>
      <c r="C9" s="51"/>
      <c r="D9" s="50"/>
      <c r="E9" s="52"/>
      <c r="F9" s="52"/>
      <c r="G9" s="52"/>
      <c r="H9" s="52" t="s">
        <v>54</v>
      </c>
    </row>
    <row r="10" spans="1:8" ht="15" hidden="1" customHeight="1" x14ac:dyDescent="0.25">
      <c r="A10" s="162"/>
      <c r="B10" s="163"/>
      <c r="C10" s="163"/>
      <c r="D10" s="4"/>
      <c r="E10" s="164"/>
      <c r="F10" s="165"/>
      <c r="G10" s="165"/>
      <c r="H10" s="166"/>
    </row>
    <row r="11" spans="1:8" ht="21" hidden="1" customHeight="1" x14ac:dyDescent="0.25">
      <c r="A11" s="53"/>
      <c r="B11" s="3"/>
      <c r="C11" s="3"/>
      <c r="D11" s="3"/>
      <c r="E11" s="167"/>
      <c r="F11" s="168"/>
      <c r="G11" s="168"/>
      <c r="H11" s="169"/>
    </row>
    <row r="12" spans="1:8" ht="15" customHeight="1" x14ac:dyDescent="0.25">
      <c r="A12" s="224" t="s">
        <v>53</v>
      </c>
      <c r="B12" s="224" t="s">
        <v>52</v>
      </c>
      <c r="C12" s="226" t="s">
        <v>51</v>
      </c>
      <c r="D12" s="228" t="s">
        <v>50</v>
      </c>
      <c r="E12" s="118" t="s">
        <v>49</v>
      </c>
      <c r="F12" s="212" t="s">
        <v>186</v>
      </c>
      <c r="G12" s="213"/>
      <c r="H12" s="214"/>
    </row>
    <row r="13" spans="1:8" ht="12.75" customHeight="1" x14ac:dyDescent="0.25">
      <c r="A13" s="225"/>
      <c r="B13" s="225"/>
      <c r="C13" s="227"/>
      <c r="D13" s="229"/>
      <c r="E13" s="119" t="s">
        <v>46</v>
      </c>
      <c r="F13" s="215"/>
      <c r="G13" s="216"/>
      <c r="H13" s="217"/>
    </row>
    <row r="14" spans="1:8" ht="15" customHeight="1" x14ac:dyDescent="0.25">
      <c r="A14" s="120"/>
      <c r="B14" s="121"/>
      <c r="C14" s="122" t="s">
        <v>183</v>
      </c>
      <c r="D14" s="123"/>
      <c r="E14" s="124"/>
      <c r="F14" s="125"/>
      <c r="G14" s="126"/>
      <c r="H14" s="127"/>
    </row>
    <row r="15" spans="1:8" x14ac:dyDescent="0.25">
      <c r="A15" s="120">
        <v>1</v>
      </c>
      <c r="B15" s="121"/>
      <c r="C15" s="122" t="s">
        <v>142</v>
      </c>
      <c r="D15" s="123"/>
      <c r="E15" s="124"/>
      <c r="F15" s="218"/>
      <c r="G15" s="219"/>
      <c r="H15" s="220"/>
    </row>
    <row r="16" spans="1:8" ht="24" x14ac:dyDescent="0.25">
      <c r="A16" s="128" t="s">
        <v>42</v>
      </c>
      <c r="B16" s="129" t="s">
        <v>90</v>
      </c>
      <c r="C16" s="130" t="s">
        <v>91</v>
      </c>
      <c r="D16" s="131" t="s">
        <v>6</v>
      </c>
      <c r="E16" s="132">
        <v>2.88</v>
      </c>
      <c r="F16" s="221" t="s">
        <v>187</v>
      </c>
      <c r="G16" s="222"/>
      <c r="H16" s="223"/>
    </row>
    <row r="17" spans="1:10" ht="24" x14ac:dyDescent="0.25">
      <c r="A17" s="133" t="s">
        <v>27</v>
      </c>
      <c r="B17" s="134" t="s">
        <v>41</v>
      </c>
      <c r="C17" s="135" t="s">
        <v>40</v>
      </c>
      <c r="D17" s="131" t="s">
        <v>39</v>
      </c>
      <c r="E17" s="132">
        <v>6</v>
      </c>
      <c r="F17" s="221" t="s">
        <v>188</v>
      </c>
      <c r="G17" s="222"/>
      <c r="H17" s="223"/>
    </row>
    <row r="18" spans="1:10" ht="26.25" customHeight="1" x14ac:dyDescent="0.25">
      <c r="A18" s="133" t="s">
        <v>143</v>
      </c>
      <c r="B18" s="134" t="s">
        <v>26</v>
      </c>
      <c r="C18" s="136" t="s">
        <v>25</v>
      </c>
      <c r="D18" s="131" t="s">
        <v>11</v>
      </c>
      <c r="E18" s="137">
        <v>20</v>
      </c>
      <c r="F18" s="194" t="s">
        <v>189</v>
      </c>
      <c r="G18" s="195"/>
      <c r="H18" s="196"/>
    </row>
    <row r="19" spans="1:10" ht="37.5" customHeight="1" x14ac:dyDescent="0.25">
      <c r="A19" s="133" t="s">
        <v>144</v>
      </c>
      <c r="B19" s="133">
        <v>102279</v>
      </c>
      <c r="C19" s="136" t="s">
        <v>92</v>
      </c>
      <c r="D19" s="133" t="s">
        <v>7</v>
      </c>
      <c r="E19" s="137">
        <f>20*2.5*0.5</f>
        <v>25</v>
      </c>
      <c r="F19" s="197" t="s">
        <v>190</v>
      </c>
      <c r="G19" s="198"/>
      <c r="H19" s="199"/>
    </row>
    <row r="20" spans="1:10" ht="16.5" customHeight="1" x14ac:dyDescent="0.25">
      <c r="A20" s="120" t="s">
        <v>38</v>
      </c>
      <c r="B20" s="138"/>
      <c r="C20" s="122" t="s">
        <v>140</v>
      </c>
      <c r="D20" s="139"/>
      <c r="E20" s="140"/>
      <c r="F20" s="203"/>
      <c r="G20" s="204"/>
      <c r="H20" s="205"/>
    </row>
    <row r="21" spans="1:10" ht="45" customHeight="1" x14ac:dyDescent="0.25">
      <c r="A21" s="133" t="s">
        <v>37</v>
      </c>
      <c r="B21" s="134" t="s">
        <v>141</v>
      </c>
      <c r="C21" s="136" t="s">
        <v>167</v>
      </c>
      <c r="D21" s="131" t="s">
        <v>11</v>
      </c>
      <c r="E21" s="137">
        <f>42*3+7*2.5</f>
        <v>143.5</v>
      </c>
      <c r="F21" s="197" t="s">
        <v>191</v>
      </c>
      <c r="G21" s="198"/>
      <c r="H21" s="199"/>
      <c r="J21">
        <f>42/3</f>
        <v>14</v>
      </c>
    </row>
    <row r="22" spans="1:10" ht="31.5" customHeight="1" x14ac:dyDescent="0.25">
      <c r="A22" s="133" t="s">
        <v>173</v>
      </c>
      <c r="B22" s="134" t="s">
        <v>35</v>
      </c>
      <c r="C22" s="136" t="s">
        <v>34</v>
      </c>
      <c r="D22" s="131" t="s">
        <v>7</v>
      </c>
      <c r="E22" s="137">
        <f>2.5*20*0.05</f>
        <v>2.5</v>
      </c>
      <c r="F22" s="209" t="s">
        <v>192</v>
      </c>
      <c r="G22" s="210"/>
      <c r="H22" s="211"/>
    </row>
    <row r="23" spans="1:10" ht="42" customHeight="1" x14ac:dyDescent="0.25">
      <c r="A23" s="133" t="s">
        <v>174</v>
      </c>
      <c r="B23" s="134" t="s">
        <v>134</v>
      </c>
      <c r="C23" s="136" t="s">
        <v>133</v>
      </c>
      <c r="D23" s="131" t="s">
        <v>7</v>
      </c>
      <c r="E23" s="137">
        <f>20*2.5*0.5+4.06</f>
        <v>29.06</v>
      </c>
      <c r="F23" s="185" t="s">
        <v>193</v>
      </c>
      <c r="G23" s="186"/>
      <c r="H23" s="187"/>
    </row>
    <row r="24" spans="1:10" ht="42" customHeight="1" x14ac:dyDescent="0.25">
      <c r="A24" s="133" t="s">
        <v>175</v>
      </c>
      <c r="B24" s="134" t="s">
        <v>32</v>
      </c>
      <c r="C24" s="141" t="s">
        <v>171</v>
      </c>
      <c r="D24" s="131" t="s">
        <v>17</v>
      </c>
      <c r="E24" s="137">
        <v>240</v>
      </c>
      <c r="F24" s="176" t="s">
        <v>194</v>
      </c>
      <c r="G24" s="177"/>
      <c r="H24" s="178"/>
    </row>
    <row r="25" spans="1:10" ht="31.5" customHeight="1" x14ac:dyDescent="0.25">
      <c r="A25" s="133" t="s">
        <v>176</v>
      </c>
      <c r="B25" s="134" t="s">
        <v>83</v>
      </c>
      <c r="C25" s="136" t="s">
        <v>19</v>
      </c>
      <c r="D25" s="142" t="s">
        <v>17</v>
      </c>
      <c r="E25" s="137">
        <f>3281-E31</f>
        <v>1008</v>
      </c>
      <c r="F25" s="176" t="s">
        <v>194</v>
      </c>
      <c r="G25" s="177"/>
      <c r="H25" s="178"/>
    </row>
    <row r="26" spans="1:10" ht="31.5" customHeight="1" x14ac:dyDescent="0.25">
      <c r="A26" s="133" t="s">
        <v>177</v>
      </c>
      <c r="B26" s="134" t="s">
        <v>81</v>
      </c>
      <c r="C26" s="136" t="s">
        <v>82</v>
      </c>
      <c r="D26" s="142" t="s">
        <v>17</v>
      </c>
      <c r="E26" s="137">
        <f>71.5+55</f>
        <v>126.5</v>
      </c>
      <c r="F26" s="176" t="s">
        <v>194</v>
      </c>
      <c r="G26" s="177"/>
      <c r="H26" s="178"/>
    </row>
    <row r="27" spans="1:10" ht="45" customHeight="1" x14ac:dyDescent="0.25">
      <c r="A27" s="133" t="s">
        <v>178</v>
      </c>
      <c r="B27" s="134" t="s">
        <v>23</v>
      </c>
      <c r="C27" s="136" t="s">
        <v>22</v>
      </c>
      <c r="D27" s="131" t="s">
        <v>6</v>
      </c>
      <c r="E27" s="137">
        <f>0.5*20*2</f>
        <v>20</v>
      </c>
      <c r="F27" s="200" t="s">
        <v>195</v>
      </c>
      <c r="G27" s="201"/>
      <c r="H27" s="202"/>
    </row>
    <row r="28" spans="1:10" ht="17.25" customHeight="1" x14ac:dyDescent="0.25">
      <c r="A28" s="120" t="s">
        <v>148</v>
      </c>
      <c r="B28" s="138"/>
      <c r="C28" s="122" t="s">
        <v>145</v>
      </c>
      <c r="D28" s="139"/>
      <c r="E28" s="140"/>
      <c r="F28" s="203"/>
      <c r="G28" s="204"/>
      <c r="H28" s="205"/>
    </row>
    <row r="29" spans="1:10" ht="44.25" customHeight="1" x14ac:dyDescent="0.25">
      <c r="A29" s="133" t="s">
        <v>24</v>
      </c>
      <c r="B29" s="134" t="s">
        <v>23</v>
      </c>
      <c r="C29" s="136" t="s">
        <v>22</v>
      </c>
      <c r="D29" s="131" t="s">
        <v>6</v>
      </c>
      <c r="E29" s="137">
        <f>3.5*20*2</f>
        <v>140</v>
      </c>
      <c r="F29" s="206" t="s">
        <v>196</v>
      </c>
      <c r="G29" s="207"/>
      <c r="H29" s="208"/>
    </row>
    <row r="30" spans="1:10" ht="45.75" customHeight="1" x14ac:dyDescent="0.25">
      <c r="A30" s="133" t="s">
        <v>36</v>
      </c>
      <c r="B30" s="134" t="s">
        <v>134</v>
      </c>
      <c r="C30" s="136" t="s">
        <v>133</v>
      </c>
      <c r="D30" s="131" t="s">
        <v>7</v>
      </c>
      <c r="E30" s="137">
        <f>1.14*20</f>
        <v>22.799999999999997</v>
      </c>
      <c r="F30" s="185" t="s">
        <v>197</v>
      </c>
      <c r="G30" s="186"/>
      <c r="H30" s="187"/>
    </row>
    <row r="31" spans="1:10" ht="31.5" customHeight="1" x14ac:dyDescent="0.25">
      <c r="A31" s="133" t="s">
        <v>21</v>
      </c>
      <c r="B31" s="134" t="s">
        <v>83</v>
      </c>
      <c r="C31" s="136" t="s">
        <v>19</v>
      </c>
      <c r="D31" s="142" t="s">
        <v>17</v>
      </c>
      <c r="E31" s="137">
        <v>2273</v>
      </c>
      <c r="F31" s="176" t="s">
        <v>194</v>
      </c>
      <c r="G31" s="177"/>
      <c r="H31" s="178"/>
    </row>
    <row r="32" spans="1:10" ht="31.5" customHeight="1" x14ac:dyDescent="0.25">
      <c r="A32" s="133" t="s">
        <v>20</v>
      </c>
      <c r="B32" s="134" t="s">
        <v>170</v>
      </c>
      <c r="C32" s="136" t="s">
        <v>169</v>
      </c>
      <c r="D32" s="142" t="s">
        <v>17</v>
      </c>
      <c r="E32" s="137">
        <v>905</v>
      </c>
      <c r="F32" s="176" t="s">
        <v>194</v>
      </c>
      <c r="G32" s="177"/>
      <c r="H32" s="178"/>
    </row>
    <row r="33" spans="1:8" ht="39.75" customHeight="1" x14ac:dyDescent="0.25">
      <c r="A33" s="133" t="s">
        <v>18</v>
      </c>
      <c r="B33" s="143" t="s">
        <v>154</v>
      </c>
      <c r="C33" s="144" t="s">
        <v>155</v>
      </c>
      <c r="D33" s="143" t="s">
        <v>11</v>
      </c>
      <c r="E33" s="145">
        <f>3.5</f>
        <v>3.5</v>
      </c>
      <c r="F33" s="194" t="s">
        <v>198</v>
      </c>
      <c r="G33" s="195"/>
      <c r="H33" s="196"/>
    </row>
    <row r="34" spans="1:8" ht="44.25" customHeight="1" x14ac:dyDescent="0.25">
      <c r="A34" s="133" t="s">
        <v>149</v>
      </c>
      <c r="B34" s="146" t="s">
        <v>156</v>
      </c>
      <c r="C34" s="141" t="s">
        <v>157</v>
      </c>
      <c r="D34" s="131" t="s">
        <v>6</v>
      </c>
      <c r="E34" s="137">
        <f>3.5*20</f>
        <v>70</v>
      </c>
      <c r="F34" s="194" t="s">
        <v>199</v>
      </c>
      <c r="G34" s="195"/>
      <c r="H34" s="196"/>
    </row>
    <row r="35" spans="1:8" ht="31.5" customHeight="1" x14ac:dyDescent="0.25">
      <c r="A35" s="133" t="s">
        <v>179</v>
      </c>
      <c r="B35" s="134" t="s">
        <v>146</v>
      </c>
      <c r="C35" s="136" t="s">
        <v>147</v>
      </c>
      <c r="D35" s="131" t="s">
        <v>7</v>
      </c>
      <c r="E35" s="137">
        <f>20*3.5*0.3</f>
        <v>21</v>
      </c>
      <c r="F35" s="197" t="s">
        <v>200</v>
      </c>
      <c r="G35" s="198"/>
      <c r="H35" s="199"/>
    </row>
    <row r="36" spans="1:8" ht="24" customHeight="1" x14ac:dyDescent="0.25">
      <c r="A36" s="133" t="s">
        <v>180</v>
      </c>
      <c r="B36" s="134" t="s">
        <v>84</v>
      </c>
      <c r="C36" s="136" t="s">
        <v>85</v>
      </c>
      <c r="D36" s="142" t="s">
        <v>11</v>
      </c>
      <c r="E36" s="137">
        <v>18</v>
      </c>
      <c r="F36" s="176" t="s">
        <v>201</v>
      </c>
      <c r="G36" s="177"/>
      <c r="H36" s="178"/>
    </row>
    <row r="37" spans="1:8" ht="38.25" customHeight="1" x14ac:dyDescent="0.25">
      <c r="A37" s="133" t="s">
        <v>181</v>
      </c>
      <c r="B37" s="143" t="s">
        <v>163</v>
      </c>
      <c r="C37" s="144" t="s">
        <v>164</v>
      </c>
      <c r="D37" s="142" t="s">
        <v>7</v>
      </c>
      <c r="E37" s="137">
        <f>1.2*3.5*20</f>
        <v>84</v>
      </c>
      <c r="F37" s="185" t="s">
        <v>202</v>
      </c>
      <c r="G37" s="186"/>
      <c r="H37" s="187"/>
    </row>
    <row r="38" spans="1:8" ht="78" customHeight="1" x14ac:dyDescent="0.25">
      <c r="A38" s="133" t="s">
        <v>182</v>
      </c>
      <c r="B38" s="143" t="s">
        <v>165</v>
      </c>
      <c r="C38" s="144" t="s">
        <v>166</v>
      </c>
      <c r="D38" s="142" t="s">
        <v>7</v>
      </c>
      <c r="E38" s="137">
        <f>E37</f>
        <v>84</v>
      </c>
      <c r="F38" s="185" t="s">
        <v>202</v>
      </c>
      <c r="G38" s="186"/>
      <c r="H38" s="187"/>
    </row>
    <row r="39" spans="1:8" ht="27.75" customHeight="1" x14ac:dyDescent="0.25">
      <c r="A39" s="147" t="s">
        <v>150</v>
      </c>
      <c r="B39" s="148"/>
      <c r="C39" s="149" t="s">
        <v>168</v>
      </c>
      <c r="D39" s="150"/>
      <c r="E39" s="151"/>
      <c r="F39" s="191"/>
      <c r="G39" s="192"/>
      <c r="H39" s="193"/>
    </row>
    <row r="40" spans="1:8" ht="35.25" customHeight="1" x14ac:dyDescent="0.25">
      <c r="A40" s="152" t="s">
        <v>16</v>
      </c>
      <c r="B40" s="134" t="s">
        <v>103</v>
      </c>
      <c r="C40" s="136" t="s">
        <v>104</v>
      </c>
      <c r="D40" s="131" t="s">
        <v>7</v>
      </c>
      <c r="E40" s="137">
        <f>'MEMORIA DE CALCULO'!E4</f>
        <v>0.99</v>
      </c>
      <c r="F40" s="185" t="s">
        <v>203</v>
      </c>
      <c r="G40" s="186"/>
      <c r="H40" s="187"/>
    </row>
    <row r="41" spans="1:8" ht="29.25" customHeight="1" x14ac:dyDescent="0.25">
      <c r="A41" s="152" t="s">
        <v>15</v>
      </c>
      <c r="B41" s="134" t="s">
        <v>114</v>
      </c>
      <c r="C41" s="136" t="s">
        <v>113</v>
      </c>
      <c r="D41" s="142" t="s">
        <v>17</v>
      </c>
      <c r="E41" s="137">
        <f>'MEMORIA DE CALCULO'!D13</f>
        <v>34.760000000000005</v>
      </c>
      <c r="F41" s="185" t="s">
        <v>212</v>
      </c>
      <c r="G41" s="186"/>
      <c r="H41" s="187"/>
    </row>
    <row r="42" spans="1:8" ht="29.25" customHeight="1" x14ac:dyDescent="0.25">
      <c r="A42" s="152" t="s">
        <v>33</v>
      </c>
      <c r="B42" s="134" t="s">
        <v>32</v>
      </c>
      <c r="C42" s="136" t="s">
        <v>87</v>
      </c>
      <c r="D42" s="142" t="s">
        <v>17</v>
      </c>
      <c r="E42" s="137">
        <f>'MEMORIA DE CALCULO'!C13</f>
        <v>23.890240000000006</v>
      </c>
      <c r="F42" s="185" t="s">
        <v>211</v>
      </c>
      <c r="G42" s="186"/>
      <c r="H42" s="187"/>
    </row>
    <row r="43" spans="1:8" ht="32.25" customHeight="1" x14ac:dyDescent="0.25">
      <c r="A43" s="152" t="s">
        <v>12</v>
      </c>
      <c r="B43" s="134" t="s">
        <v>81</v>
      </c>
      <c r="C43" s="136" t="s">
        <v>86</v>
      </c>
      <c r="D43" s="142" t="s">
        <v>17</v>
      </c>
      <c r="E43" s="137">
        <f>'MEMORIA DE CALCULO'!E13</f>
        <v>11.464992000000002</v>
      </c>
      <c r="F43" s="185" t="s">
        <v>204</v>
      </c>
      <c r="G43" s="186"/>
      <c r="H43" s="187"/>
    </row>
    <row r="44" spans="1:8" ht="36" customHeight="1" x14ac:dyDescent="0.25">
      <c r="A44" s="152" t="s">
        <v>97</v>
      </c>
      <c r="B44" s="134" t="s">
        <v>31</v>
      </c>
      <c r="C44" s="136" t="s">
        <v>30</v>
      </c>
      <c r="D44" s="131" t="s">
        <v>6</v>
      </c>
      <c r="E44" s="137">
        <v>20.5</v>
      </c>
      <c r="F44" s="188" t="s">
        <v>205</v>
      </c>
      <c r="G44" s="189"/>
      <c r="H44" s="190"/>
    </row>
    <row r="45" spans="1:8" ht="29.25" customHeight="1" x14ac:dyDescent="0.25">
      <c r="A45" s="152" t="s">
        <v>98</v>
      </c>
      <c r="B45" s="134" t="s">
        <v>14</v>
      </c>
      <c r="C45" s="136" t="s">
        <v>13</v>
      </c>
      <c r="D45" s="142" t="s">
        <v>6</v>
      </c>
      <c r="E45" s="137">
        <f>20*1.1*2</f>
        <v>44</v>
      </c>
      <c r="F45" s="176" t="s">
        <v>207</v>
      </c>
      <c r="G45" s="177"/>
      <c r="H45" s="178"/>
    </row>
    <row r="46" spans="1:8" ht="44.25" customHeight="1" x14ac:dyDescent="0.25">
      <c r="A46" s="152" t="s">
        <v>99</v>
      </c>
      <c r="B46" s="134" t="s">
        <v>116</v>
      </c>
      <c r="C46" s="136" t="s">
        <v>117</v>
      </c>
      <c r="D46" s="142" t="s">
        <v>6</v>
      </c>
      <c r="E46" s="137">
        <f>20*1.1*2</f>
        <v>44</v>
      </c>
      <c r="F46" s="176" t="s">
        <v>206</v>
      </c>
      <c r="G46" s="177"/>
      <c r="H46" s="178"/>
    </row>
    <row r="47" spans="1:8" ht="29.25" customHeight="1" x14ac:dyDescent="0.25">
      <c r="A47" s="152" t="s">
        <v>100</v>
      </c>
      <c r="B47" s="134" t="s">
        <v>88</v>
      </c>
      <c r="C47" s="136" t="s">
        <v>89</v>
      </c>
      <c r="D47" s="142" t="s">
        <v>6</v>
      </c>
      <c r="E47" s="137">
        <f>E45</f>
        <v>44</v>
      </c>
      <c r="F47" s="176" t="s">
        <v>206</v>
      </c>
      <c r="G47" s="177"/>
      <c r="H47" s="178"/>
    </row>
    <row r="48" spans="1:8" ht="21" customHeight="1" x14ac:dyDescent="0.25">
      <c r="A48" s="120" t="s">
        <v>93</v>
      </c>
      <c r="B48" s="122" t="s">
        <v>10</v>
      </c>
      <c r="C48" s="122" t="s">
        <v>9</v>
      </c>
      <c r="D48" s="140"/>
      <c r="E48" s="140"/>
      <c r="F48" s="179"/>
      <c r="G48" s="180"/>
      <c r="H48" s="181"/>
    </row>
    <row r="49" spans="1:8" ht="36.75" x14ac:dyDescent="0.25">
      <c r="A49" s="152" t="s">
        <v>8</v>
      </c>
      <c r="B49" s="143" t="s">
        <v>158</v>
      </c>
      <c r="C49" s="144" t="s">
        <v>159</v>
      </c>
      <c r="D49" s="143" t="s">
        <v>6</v>
      </c>
      <c r="E49" s="153">
        <f>20*1</f>
        <v>20</v>
      </c>
      <c r="F49" s="182" t="s">
        <v>208</v>
      </c>
      <c r="G49" s="183"/>
      <c r="H49" s="184"/>
    </row>
    <row r="50" spans="1:8" ht="60.75" x14ac:dyDescent="0.25">
      <c r="A50" s="152" t="s">
        <v>94</v>
      </c>
      <c r="B50" s="143" t="s">
        <v>161</v>
      </c>
      <c r="C50" s="144" t="s">
        <v>162</v>
      </c>
      <c r="D50" s="143" t="s">
        <v>11</v>
      </c>
      <c r="E50" s="153">
        <v>20</v>
      </c>
      <c r="F50" s="182" t="s">
        <v>209</v>
      </c>
      <c r="G50" s="183"/>
      <c r="H50" s="184"/>
    </row>
    <row r="51" spans="1:8" ht="24.75" customHeight="1" x14ac:dyDescent="0.25">
      <c r="A51" s="133" t="s">
        <v>95</v>
      </c>
      <c r="B51" s="134" t="s">
        <v>29</v>
      </c>
      <c r="C51" s="136" t="s">
        <v>28</v>
      </c>
      <c r="D51" s="142" t="s">
        <v>6</v>
      </c>
      <c r="E51" s="137">
        <f>20*1.5</f>
        <v>30</v>
      </c>
      <c r="F51" s="176" t="s">
        <v>210</v>
      </c>
      <c r="G51" s="177"/>
      <c r="H51" s="178"/>
    </row>
    <row r="52" spans="1:8" ht="48.75" customHeight="1" x14ac:dyDescent="0.25"/>
    <row r="53" spans="1:8" x14ac:dyDescent="0.25">
      <c r="B53" s="2" t="s">
        <v>4</v>
      </c>
      <c r="C53" s="6"/>
      <c r="D53" s="159" t="s">
        <v>3</v>
      </c>
      <c r="E53" s="159"/>
      <c r="F53" s="159"/>
    </row>
    <row r="54" spans="1:8" x14ac:dyDescent="0.25">
      <c r="B54" s="1" t="s">
        <v>2</v>
      </c>
      <c r="D54" s="160" t="s">
        <v>1</v>
      </c>
      <c r="E54" s="160"/>
      <c r="F54" s="160"/>
    </row>
    <row r="55" spans="1:8" x14ac:dyDescent="0.25">
      <c r="B55" s="1" t="s">
        <v>0</v>
      </c>
      <c r="D55" s="160"/>
      <c r="E55" s="160"/>
      <c r="F55" s="160"/>
    </row>
  </sheetData>
  <mergeCells count="55">
    <mergeCell ref="B6:C6"/>
    <mergeCell ref="A1:H1"/>
    <mergeCell ref="A2:H2"/>
    <mergeCell ref="A3:H3"/>
    <mergeCell ref="C4:H4"/>
    <mergeCell ref="B5:G5"/>
    <mergeCell ref="B7:E7"/>
    <mergeCell ref="A8:B8"/>
    <mergeCell ref="A10:C10"/>
    <mergeCell ref="E10:H11"/>
    <mergeCell ref="A12:A13"/>
    <mergeCell ref="B12:B13"/>
    <mergeCell ref="C12:C13"/>
    <mergeCell ref="D12:D13"/>
    <mergeCell ref="D53:F53"/>
    <mergeCell ref="D54:F54"/>
    <mergeCell ref="D55:F55"/>
    <mergeCell ref="F12:H13"/>
    <mergeCell ref="F15:H15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F35:H35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46:H46"/>
    <mergeCell ref="F36:H36"/>
    <mergeCell ref="F37:H37"/>
    <mergeCell ref="F38:H38"/>
    <mergeCell ref="F39:H39"/>
    <mergeCell ref="F40:H40"/>
    <mergeCell ref="F41:H41"/>
    <mergeCell ref="F42:H42"/>
    <mergeCell ref="F43:H43"/>
    <mergeCell ref="F44:H44"/>
    <mergeCell ref="F45:H45"/>
    <mergeCell ref="F47:H47"/>
    <mergeCell ref="F48:H48"/>
    <mergeCell ref="F49:H49"/>
    <mergeCell ref="F50:H50"/>
    <mergeCell ref="F51:H51"/>
  </mergeCells>
  <phoneticPr fontId="17" type="noConversion"/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  <legacyDrawing r:id="rId3"/>
  <oleObjects>
    <mc:AlternateContent xmlns:mc="http://schemas.openxmlformats.org/markup-compatibility/2006">
      <mc:Choice Requires="x14">
        <oleObject progId="CorelDRAW.Graphic.11" shapeId="5121" r:id="rId4">
          <objectPr defaultSize="0" autoPict="0" r:id="rId5">
            <anchor moveWithCells="1" sizeWithCells="1">
              <from>
                <xdr:col>0</xdr:col>
                <xdr:colOff>400050</xdr:colOff>
                <xdr:row>0</xdr:row>
                <xdr:rowOff>95250</xdr:rowOff>
              </from>
              <to>
                <xdr:col>1</xdr:col>
                <xdr:colOff>847725</xdr:colOff>
                <xdr:row>3</xdr:row>
                <xdr:rowOff>133350</xdr:rowOff>
              </to>
            </anchor>
          </objectPr>
        </oleObject>
      </mc:Choice>
      <mc:Fallback>
        <oleObject progId="CorelDRAW.Graphic.11" shapeId="5121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tabSelected="1" workbookViewId="0">
      <selection activeCell="A4" sqref="A4:H4"/>
    </sheetView>
  </sheetViews>
  <sheetFormatPr defaultRowHeight="15" x14ac:dyDescent="0.25"/>
  <cols>
    <col min="1" max="1" width="39.140625" customWidth="1"/>
    <col min="2" max="2" width="12.42578125" customWidth="1"/>
    <col min="3" max="3" width="12.28515625" customWidth="1"/>
    <col min="4" max="7" width="11.85546875" customWidth="1"/>
    <col min="8" max="8" width="13.28515625" customWidth="1"/>
  </cols>
  <sheetData>
    <row r="1" spans="1:8" ht="20.25" x14ac:dyDescent="0.25">
      <c r="A1" s="155" t="s">
        <v>63</v>
      </c>
      <c r="B1" s="155"/>
      <c r="C1" s="155"/>
      <c r="D1" s="155"/>
      <c r="E1" s="155"/>
      <c r="F1" s="155"/>
      <c r="G1" s="155"/>
      <c r="H1" s="155"/>
    </row>
    <row r="2" spans="1:8" ht="16.5" x14ac:dyDescent="0.25">
      <c r="A2" s="156" t="s">
        <v>62</v>
      </c>
      <c r="B2" s="156"/>
      <c r="C2" s="156"/>
      <c r="D2" s="156"/>
      <c r="E2" s="156"/>
      <c r="F2" s="156"/>
      <c r="G2" s="156"/>
      <c r="H2" s="156"/>
    </row>
    <row r="3" spans="1:8" ht="16.5" x14ac:dyDescent="0.25">
      <c r="A3" s="156" t="s">
        <v>61</v>
      </c>
      <c r="B3" s="156"/>
      <c r="C3" s="156"/>
      <c r="D3" s="156"/>
      <c r="E3" s="156"/>
      <c r="F3" s="156"/>
      <c r="G3" s="156"/>
      <c r="H3" s="156"/>
    </row>
    <row r="4" spans="1:8" x14ac:dyDescent="0.25">
      <c r="A4" s="236" t="s">
        <v>60</v>
      </c>
      <c r="B4" s="236"/>
      <c r="C4" s="236"/>
      <c r="D4" s="236"/>
      <c r="E4" s="236"/>
      <c r="F4" s="236"/>
      <c r="G4" s="236"/>
      <c r="H4" s="236"/>
    </row>
    <row r="5" spans="1:8" ht="16.5" thickBot="1" x14ac:dyDescent="0.3">
      <c r="A5" s="237" t="s">
        <v>64</v>
      </c>
      <c r="B5" s="237"/>
      <c r="C5" s="237"/>
      <c r="D5" s="237"/>
      <c r="E5" s="237"/>
      <c r="F5" s="237"/>
      <c r="G5" s="237"/>
      <c r="H5" s="237"/>
    </row>
    <row r="6" spans="1:8" x14ac:dyDescent="0.25">
      <c r="A6" s="238" t="s">
        <v>65</v>
      </c>
      <c r="B6" s="239"/>
      <c r="C6" s="239"/>
      <c r="D6" s="239"/>
      <c r="E6" s="239"/>
      <c r="F6" s="239"/>
      <c r="G6" s="239"/>
      <c r="H6" s="240"/>
    </row>
    <row r="7" spans="1:8" ht="15.75" thickBot="1" x14ac:dyDescent="0.3">
      <c r="A7" s="7" t="s">
        <v>79</v>
      </c>
      <c r="B7" s="8"/>
      <c r="C7" s="8"/>
      <c r="D7" s="241" t="s">
        <v>78</v>
      </c>
      <c r="E7" s="241"/>
      <c r="F7" s="241"/>
      <c r="G7" s="241"/>
      <c r="H7" s="9">
        <f>ORÇAMENTO!H57</f>
        <v>149474.91426701777</v>
      </c>
    </row>
    <row r="8" spans="1:8" ht="15.75" thickBot="1" x14ac:dyDescent="0.3">
      <c r="A8" s="242" t="s">
        <v>216</v>
      </c>
      <c r="B8" s="243"/>
      <c r="C8" s="243"/>
      <c r="D8" s="243"/>
      <c r="E8" s="243"/>
      <c r="F8" s="243"/>
      <c r="G8" s="243"/>
      <c r="H8" s="244"/>
    </row>
    <row r="9" spans="1:8" ht="25.5" x14ac:dyDescent="0.25">
      <c r="A9" s="10" t="s">
        <v>66</v>
      </c>
      <c r="B9" s="11" t="s">
        <v>67</v>
      </c>
      <c r="C9" s="12" t="s">
        <v>68</v>
      </c>
      <c r="D9" s="12" t="s">
        <v>69</v>
      </c>
      <c r="E9" s="12" t="s">
        <v>70</v>
      </c>
      <c r="F9" s="12" t="s">
        <v>76</v>
      </c>
      <c r="G9" s="12" t="s">
        <v>77</v>
      </c>
      <c r="H9" s="13" t="s">
        <v>71</v>
      </c>
    </row>
    <row r="10" spans="1:8" x14ac:dyDescent="0.25">
      <c r="A10" s="232" t="str">
        <f>ORÇAMENTO!C15</f>
        <v>SERVIÇOS PRELIMINARES</v>
      </c>
      <c r="B10" s="14" t="s">
        <v>72</v>
      </c>
      <c r="C10" s="15">
        <v>1</v>
      </c>
      <c r="D10" s="15"/>
      <c r="E10" s="15"/>
      <c r="F10" s="15"/>
      <c r="G10" s="15"/>
      <c r="H10" s="20">
        <f>C10+D10</f>
        <v>1</v>
      </c>
    </row>
    <row r="11" spans="1:8" x14ac:dyDescent="0.25">
      <c r="A11" s="245"/>
      <c r="B11" s="17">
        <f>ORÇAMENTO!H20</f>
        <v>10045.535695</v>
      </c>
      <c r="C11" s="18">
        <f>C10*B11</f>
        <v>10045.535695</v>
      </c>
      <c r="D11" s="16"/>
      <c r="E11" s="16"/>
      <c r="F11" s="16"/>
      <c r="G11" s="16"/>
      <c r="H11" s="19">
        <f>C11</f>
        <v>10045.535695</v>
      </c>
    </row>
    <row r="12" spans="1:8" x14ac:dyDescent="0.25">
      <c r="A12" s="234" t="str">
        <f>ORÇAMENTO!C21</f>
        <v>INFRAESTRUTURA</v>
      </c>
      <c r="B12" s="14" t="s">
        <v>72</v>
      </c>
      <c r="C12" s="15">
        <v>0.5</v>
      </c>
      <c r="D12" s="15">
        <v>0.5</v>
      </c>
      <c r="E12" s="15"/>
      <c r="F12" s="15"/>
      <c r="G12" s="15"/>
      <c r="H12" s="20">
        <f>C12+D12+E12</f>
        <v>1</v>
      </c>
    </row>
    <row r="13" spans="1:8" x14ac:dyDescent="0.25">
      <c r="A13" s="235"/>
      <c r="B13" s="17">
        <f>ORÇAMENTO!H29</f>
        <v>57241.260030079997</v>
      </c>
      <c r="C13" s="21">
        <f>C12*B13</f>
        <v>28620.630015039998</v>
      </c>
      <c r="D13" s="21">
        <f>D12*B13</f>
        <v>28620.630015039998</v>
      </c>
      <c r="E13" s="21"/>
      <c r="F13" s="21"/>
      <c r="G13" s="21"/>
      <c r="H13" s="19">
        <f>C13+D13+E13</f>
        <v>57241.260030079997</v>
      </c>
    </row>
    <row r="14" spans="1:8" x14ac:dyDescent="0.25">
      <c r="A14" s="234" t="str">
        <f>ORÇAMENTO!C30</f>
        <v>SUPERESTRURURA</v>
      </c>
      <c r="B14" s="14" t="s">
        <v>72</v>
      </c>
      <c r="C14" s="22">
        <v>0.2</v>
      </c>
      <c r="D14" s="22">
        <v>0.5</v>
      </c>
      <c r="E14" s="22">
        <v>0.3</v>
      </c>
      <c r="F14" s="22"/>
      <c r="G14" s="22"/>
      <c r="H14" s="20">
        <f>C14+D14</f>
        <v>0.7</v>
      </c>
    </row>
    <row r="15" spans="1:8" x14ac:dyDescent="0.25">
      <c r="A15" s="235"/>
      <c r="B15" s="17">
        <f>ORÇAMENTO!H41</f>
        <v>63570.876200500003</v>
      </c>
      <c r="C15" s="21">
        <f>C14*B15</f>
        <v>12714.175240100001</v>
      </c>
      <c r="D15" s="23">
        <f>D14*B15</f>
        <v>31785.438100250001</v>
      </c>
      <c r="E15" s="23">
        <f>E14*B15</f>
        <v>19071.26286015</v>
      </c>
      <c r="F15" s="23"/>
      <c r="G15" s="23"/>
      <c r="H15" s="19">
        <f>C15+D15+E15</f>
        <v>63570.876200500003</v>
      </c>
    </row>
    <row r="16" spans="1:8" x14ac:dyDescent="0.25">
      <c r="A16" s="234" t="str">
        <f>ORÇAMENTO!C42</f>
        <v>EXECUÇÃO DE MURETA -  GUARDA CORPO h =1,10m</v>
      </c>
      <c r="B16" s="14" t="s">
        <v>72</v>
      </c>
      <c r="C16" s="22"/>
      <c r="D16" s="22"/>
      <c r="E16" s="22">
        <v>1</v>
      </c>
      <c r="F16" s="22"/>
      <c r="G16" s="22"/>
      <c r="H16" s="20">
        <f>C16+D16+E16+F16</f>
        <v>1</v>
      </c>
    </row>
    <row r="17" spans="1:8" x14ac:dyDescent="0.25">
      <c r="A17" s="235"/>
      <c r="B17" s="17">
        <f>ORÇAMENTO!H56</f>
        <v>14189.30062</v>
      </c>
      <c r="C17" s="21">
        <f>C16*B17</f>
        <v>0</v>
      </c>
      <c r="D17" s="23">
        <f>D16*B17</f>
        <v>0</v>
      </c>
      <c r="E17" s="23">
        <f>E16*B17</f>
        <v>14189.30062</v>
      </c>
      <c r="F17" s="23"/>
      <c r="G17" s="23"/>
      <c r="H17" s="19">
        <f>C17+D17+E17+F17</f>
        <v>14189.30062</v>
      </c>
    </row>
    <row r="18" spans="1:8" x14ac:dyDescent="0.25">
      <c r="A18" s="232" t="str">
        <f>ORÇAMENTO!C52</f>
        <v>URBANIZAÇÃO</v>
      </c>
      <c r="B18" s="14" t="s">
        <v>72</v>
      </c>
      <c r="C18" s="15"/>
      <c r="D18" s="15"/>
      <c r="E18" s="22">
        <v>1</v>
      </c>
      <c r="F18" s="15"/>
      <c r="G18" s="15"/>
      <c r="H18" s="20">
        <v>1</v>
      </c>
    </row>
    <row r="19" spans="1:8" x14ac:dyDescent="0.25">
      <c r="A19" s="233"/>
      <c r="B19" s="17">
        <f>ORÇAMENTO!H51</f>
        <v>4427.9417214377754</v>
      </c>
      <c r="C19" s="21"/>
      <c r="D19" s="21"/>
      <c r="E19" s="23">
        <f>E18*B19</f>
        <v>4427.9417214377754</v>
      </c>
      <c r="F19" s="21"/>
      <c r="G19" s="21"/>
      <c r="H19" s="19">
        <f>F19+E19</f>
        <v>4427.9417214377754</v>
      </c>
    </row>
    <row r="20" spans="1:8" x14ac:dyDescent="0.25">
      <c r="A20" s="230" t="s">
        <v>214</v>
      </c>
      <c r="B20" s="24" t="s">
        <v>72</v>
      </c>
      <c r="C20" s="25">
        <f>C21/B21</f>
        <v>0.34373888891052051</v>
      </c>
      <c r="D20" s="25">
        <f>D21/B21</f>
        <v>0.40412177796859144</v>
      </c>
      <c r="E20" s="25">
        <f>E21/B21</f>
        <v>0.25213933312088804</v>
      </c>
      <c r="F20" s="25"/>
      <c r="G20" s="25"/>
      <c r="H20" s="20">
        <f>C20+D20+E20+F20+G20</f>
        <v>1</v>
      </c>
    </row>
    <row r="21" spans="1:8" x14ac:dyDescent="0.25">
      <c r="A21" s="231"/>
      <c r="B21" s="26">
        <f>B19+B17+B15+B13+B11</f>
        <v>149474.91426701777</v>
      </c>
      <c r="C21" s="27">
        <f>C17+C15+C13+C11</f>
        <v>51380.340950140002</v>
      </c>
      <c r="D21" s="27">
        <f>D17+D15+D13</f>
        <v>60406.06811529</v>
      </c>
      <c r="E21" s="27">
        <f>E19+E17+E15+E13</f>
        <v>37688.505201587774</v>
      </c>
      <c r="F21" s="27"/>
      <c r="G21" s="27"/>
      <c r="H21" s="19">
        <f>C21+D21+E21+F21+G21</f>
        <v>149474.91426701777</v>
      </c>
    </row>
    <row r="22" spans="1:8" x14ac:dyDescent="0.25">
      <c r="A22" s="246"/>
      <c r="B22" s="247"/>
      <c r="C22" s="247"/>
      <c r="D22" s="247"/>
      <c r="E22" s="28"/>
      <c r="F22" s="28"/>
      <c r="G22" s="28"/>
      <c r="H22" s="32"/>
    </row>
    <row r="23" spans="1:8" ht="23.25" customHeight="1" x14ac:dyDescent="0.25">
      <c r="A23" s="248" t="s">
        <v>213</v>
      </c>
      <c r="B23" s="249"/>
      <c r="C23" s="249"/>
      <c r="D23" s="250"/>
      <c r="E23" s="29"/>
      <c r="F23" s="29"/>
      <c r="G23" s="29"/>
      <c r="H23" s="33"/>
    </row>
    <row r="24" spans="1:8" ht="29.25" customHeight="1" x14ac:dyDescent="0.25">
      <c r="A24" s="251" t="s">
        <v>73</v>
      </c>
      <c r="B24" s="252"/>
      <c r="C24" s="253"/>
      <c r="D24" s="254"/>
      <c r="E24" s="30"/>
      <c r="F24" s="30"/>
      <c r="G24" s="30"/>
      <c r="H24" s="257"/>
    </row>
    <row r="25" spans="1:8" x14ac:dyDescent="0.25">
      <c r="A25" s="259" t="s">
        <v>74</v>
      </c>
      <c r="B25" s="260"/>
      <c r="C25" s="253"/>
      <c r="D25" s="254"/>
      <c r="E25" s="30"/>
      <c r="F25" s="30"/>
      <c r="G25" s="30"/>
      <c r="H25" s="257"/>
    </row>
    <row r="26" spans="1:8" ht="15.75" thickBot="1" x14ac:dyDescent="0.3">
      <c r="A26" s="261" t="s">
        <v>75</v>
      </c>
      <c r="B26" s="262"/>
      <c r="C26" s="255"/>
      <c r="D26" s="256"/>
      <c r="E26" s="31"/>
      <c r="F26" s="31"/>
      <c r="G26" s="31"/>
      <c r="H26" s="258"/>
    </row>
  </sheetData>
  <mergeCells count="21">
    <mergeCell ref="A22:D22"/>
    <mergeCell ref="A23:D23"/>
    <mergeCell ref="A24:B24"/>
    <mergeCell ref="C24:D26"/>
    <mergeCell ref="H24:H26"/>
    <mergeCell ref="A25:B25"/>
    <mergeCell ref="A26:B26"/>
    <mergeCell ref="A20:A21"/>
    <mergeCell ref="A18:A19"/>
    <mergeCell ref="A16:A17"/>
    <mergeCell ref="A1:H1"/>
    <mergeCell ref="A2:H2"/>
    <mergeCell ref="A3:H3"/>
    <mergeCell ref="A4:H4"/>
    <mergeCell ref="A5:H5"/>
    <mergeCell ref="A6:H6"/>
    <mergeCell ref="D7:G7"/>
    <mergeCell ref="A8:H8"/>
    <mergeCell ref="A10:A11"/>
    <mergeCell ref="A12:A13"/>
    <mergeCell ref="A14:A15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CorelDRAW.Graphic.11" shapeId="4097" r:id="rId4">
          <objectPr defaultSize="0" autoPict="0" r:id="rId5">
            <anchor moveWithCells="1" siz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1400175</xdr:colOff>
                <xdr:row>3</xdr:row>
                <xdr:rowOff>171450</xdr:rowOff>
              </to>
            </anchor>
          </objectPr>
        </oleObject>
      </mc:Choice>
      <mc:Fallback>
        <oleObject progId="CorelDRAW.Graphic.11" shapeId="409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44"/>
  <sheetViews>
    <sheetView workbookViewId="0">
      <selection activeCell="D13" sqref="D13"/>
    </sheetView>
  </sheetViews>
  <sheetFormatPr defaultRowHeight="15" x14ac:dyDescent="0.25"/>
  <cols>
    <col min="2" max="2" width="15.42578125" customWidth="1"/>
  </cols>
  <sheetData>
    <row r="2" spans="1:12" x14ac:dyDescent="0.25">
      <c r="A2" s="36" t="s">
        <v>118</v>
      </c>
      <c r="B2" s="36"/>
      <c r="C2" t="s">
        <v>151</v>
      </c>
      <c r="E2">
        <f>8*0.12*0.25</f>
        <v>0.24</v>
      </c>
      <c r="H2">
        <f>75/3</f>
        <v>25</v>
      </c>
    </row>
    <row r="3" spans="1:12" x14ac:dyDescent="0.25">
      <c r="A3" t="s">
        <v>102</v>
      </c>
      <c r="B3" t="s">
        <v>101</v>
      </c>
      <c r="C3" t="s">
        <v>105</v>
      </c>
      <c r="E3">
        <f>20*0.15*0.25</f>
        <v>0.75</v>
      </c>
    </row>
    <row r="4" spans="1:12" x14ac:dyDescent="0.25">
      <c r="C4" s="34" t="s">
        <v>106</v>
      </c>
      <c r="D4" s="34"/>
      <c r="E4" s="34">
        <f>E3+E2</f>
        <v>0.99</v>
      </c>
      <c r="F4" s="34" t="s">
        <v>7</v>
      </c>
      <c r="L4">
        <f>20/2.5</f>
        <v>8</v>
      </c>
    </row>
    <row r="5" spans="1:12" x14ac:dyDescent="0.25">
      <c r="C5" s="35" t="s">
        <v>152</v>
      </c>
      <c r="D5" s="35"/>
      <c r="E5" s="35">
        <f>25*1.1-(8*0.25)-(0.25*20)</f>
        <v>20.500000000000004</v>
      </c>
      <c r="F5" s="35"/>
    </row>
    <row r="6" spans="1:12" x14ac:dyDescent="0.25">
      <c r="A6" t="s">
        <v>107</v>
      </c>
      <c r="C6" t="s">
        <v>108</v>
      </c>
      <c r="G6">
        <f>8*4*1.1</f>
        <v>35.200000000000003</v>
      </c>
      <c r="H6" t="s">
        <v>11</v>
      </c>
      <c r="J6">
        <f>75/0.2</f>
        <v>375</v>
      </c>
    </row>
    <row r="7" spans="1:12" x14ac:dyDescent="0.25">
      <c r="C7" t="s">
        <v>109</v>
      </c>
      <c r="G7">
        <f>7*8*0.68</f>
        <v>38.080000000000005</v>
      </c>
      <c r="H7" t="s">
        <v>11</v>
      </c>
    </row>
    <row r="8" spans="1:12" x14ac:dyDescent="0.25">
      <c r="C8" t="s">
        <v>111</v>
      </c>
      <c r="G8">
        <f>4*20</f>
        <v>80</v>
      </c>
      <c r="H8" t="s">
        <v>11</v>
      </c>
    </row>
    <row r="9" spans="1:12" x14ac:dyDescent="0.25">
      <c r="C9" t="s">
        <v>153</v>
      </c>
      <c r="G9">
        <f>40*0.74</f>
        <v>29.6</v>
      </c>
      <c r="H9" t="s">
        <v>11</v>
      </c>
    </row>
    <row r="10" spans="1:12" x14ac:dyDescent="0.25">
      <c r="I10" s="37"/>
    </row>
    <row r="11" spans="1:12" x14ac:dyDescent="0.25">
      <c r="C11" t="s">
        <v>110</v>
      </c>
      <c r="D11" t="s">
        <v>112</v>
      </c>
      <c r="E11" t="s">
        <v>115</v>
      </c>
    </row>
    <row r="12" spans="1:12" x14ac:dyDescent="0.25">
      <c r="C12">
        <f>G6</f>
        <v>35.200000000000003</v>
      </c>
      <c r="D12">
        <v>80</v>
      </c>
      <c r="E12">
        <f>G7+G9</f>
        <v>67.680000000000007</v>
      </c>
    </row>
    <row r="13" spans="1:12" x14ac:dyDescent="0.25">
      <c r="C13" s="36">
        <f>C12*0.617*1.1</f>
        <v>23.890240000000006</v>
      </c>
      <c r="D13" s="36">
        <f>D12*0.395*1.1</f>
        <v>34.760000000000005</v>
      </c>
      <c r="E13" s="36">
        <f>E12*0.154*1.1</f>
        <v>11.464992000000002</v>
      </c>
      <c r="F13" t="s">
        <v>17</v>
      </c>
    </row>
    <row r="16" spans="1:12" x14ac:dyDescent="0.25">
      <c r="A16" s="38" t="s">
        <v>119</v>
      </c>
      <c r="B16" s="38"/>
    </row>
    <row r="17" spans="1:7" x14ac:dyDescent="0.25">
      <c r="A17" s="39" t="s">
        <v>120</v>
      </c>
      <c r="B17" s="39"/>
    </row>
    <row r="18" spans="1:7" x14ac:dyDescent="0.25">
      <c r="A18" t="s">
        <v>123</v>
      </c>
      <c r="C18">
        <f>(0.2*2)+(0.4*2)</f>
        <v>1.2000000000000002</v>
      </c>
      <c r="D18">
        <f>C18*2</f>
        <v>2.4000000000000004</v>
      </c>
      <c r="E18">
        <f>D18*19</f>
        <v>45.600000000000009</v>
      </c>
      <c r="F18" t="s">
        <v>6</v>
      </c>
      <c r="G18">
        <f>E18+E19</f>
        <v>81.12</v>
      </c>
    </row>
    <row r="19" spans="1:7" x14ac:dyDescent="0.25">
      <c r="A19" t="s">
        <v>121</v>
      </c>
      <c r="C19">
        <f>0.6*0.4*4</f>
        <v>0.96</v>
      </c>
      <c r="D19">
        <f>C19*37</f>
        <v>35.519999999999996</v>
      </c>
      <c r="E19">
        <f>D19</f>
        <v>35.519999999999996</v>
      </c>
      <c r="F19" t="s">
        <v>6</v>
      </c>
    </row>
    <row r="20" spans="1:7" x14ac:dyDescent="0.25">
      <c r="A20" t="s">
        <v>122</v>
      </c>
      <c r="C20">
        <f>(0.2*2)+(0.4*2)</f>
        <v>1.2000000000000002</v>
      </c>
      <c r="E20">
        <f>D20</f>
        <v>0</v>
      </c>
      <c r="F20" t="s">
        <v>6</v>
      </c>
    </row>
    <row r="21" spans="1:7" x14ac:dyDescent="0.25">
      <c r="E21">
        <f>SUM(E18:E20)</f>
        <v>81.12</v>
      </c>
      <c r="F21" t="s">
        <v>6</v>
      </c>
    </row>
    <row r="22" spans="1:7" x14ac:dyDescent="0.25">
      <c r="A22" s="39" t="s">
        <v>80</v>
      </c>
      <c r="B22" s="39"/>
    </row>
    <row r="23" spans="1:7" x14ac:dyDescent="0.25">
      <c r="A23" t="s">
        <v>125</v>
      </c>
      <c r="C23">
        <f>0.2*2+0.5*2</f>
        <v>1.4</v>
      </c>
      <c r="D23">
        <f>C23*68</f>
        <v>95.199999999999989</v>
      </c>
      <c r="E23" t="s">
        <v>6</v>
      </c>
      <c r="F23">
        <f>D23+D24+D25</f>
        <v>359.20000000000005</v>
      </c>
    </row>
    <row r="24" spans="1:7" x14ac:dyDescent="0.25">
      <c r="A24" t="s">
        <v>124</v>
      </c>
      <c r="C24">
        <f>0.2*2+0.2*6</f>
        <v>1.6</v>
      </c>
      <c r="D24">
        <f>C24*75</f>
        <v>120</v>
      </c>
      <c r="E24" t="s">
        <v>6</v>
      </c>
    </row>
    <row r="25" spans="1:7" x14ac:dyDescent="0.25">
      <c r="A25" t="s">
        <v>126</v>
      </c>
      <c r="C25">
        <f>0.2*2+0.4*2</f>
        <v>1.2000000000000002</v>
      </c>
      <c r="D25">
        <f>C25*120</f>
        <v>144.00000000000003</v>
      </c>
      <c r="E25" t="s">
        <v>6</v>
      </c>
      <c r="F25">
        <f>282.6+144</f>
        <v>426.6</v>
      </c>
    </row>
    <row r="26" spans="1:7" x14ac:dyDescent="0.25">
      <c r="A26" t="s">
        <v>127</v>
      </c>
      <c r="B26" t="s">
        <v>128</v>
      </c>
      <c r="C26">
        <f>0.25*2+0.4*2</f>
        <v>1.3</v>
      </c>
      <c r="D26">
        <f>C26*4*37/2</f>
        <v>96.2</v>
      </c>
      <c r="E26" t="s">
        <v>6</v>
      </c>
    </row>
    <row r="27" spans="1:7" x14ac:dyDescent="0.25">
      <c r="D27">
        <f>SUM(D23:D26)</f>
        <v>455.40000000000003</v>
      </c>
    </row>
    <row r="29" spans="1:7" x14ac:dyDescent="0.25">
      <c r="A29" s="36" t="s">
        <v>129</v>
      </c>
      <c r="B29" s="36"/>
    </row>
    <row r="30" spans="1:7" x14ac:dyDescent="0.25">
      <c r="A30" s="39" t="s">
        <v>120</v>
      </c>
      <c r="B30" s="39"/>
    </row>
    <row r="31" spans="1:7" x14ac:dyDescent="0.25">
      <c r="A31" t="s">
        <v>130</v>
      </c>
      <c r="B31" t="s">
        <v>131</v>
      </c>
      <c r="C31">
        <f>1.2*1.2*0.5</f>
        <v>0.72</v>
      </c>
      <c r="D31">
        <f>C31*37</f>
        <v>26.64</v>
      </c>
      <c r="E31" t="s">
        <v>7</v>
      </c>
    </row>
    <row r="32" spans="1:7" x14ac:dyDescent="0.25">
      <c r="A32" t="s">
        <v>123</v>
      </c>
      <c r="C32">
        <f>0.2*0.4*2*19*2</f>
        <v>6.080000000000001</v>
      </c>
      <c r="D32">
        <f>C32*2</f>
        <v>12.160000000000002</v>
      </c>
    </row>
    <row r="33" spans="1:6" x14ac:dyDescent="0.25">
      <c r="A33" t="s">
        <v>121</v>
      </c>
      <c r="C33">
        <f>0.6*0.6</f>
        <v>0.36</v>
      </c>
      <c r="D33">
        <f>C33*19</f>
        <v>6.84</v>
      </c>
      <c r="E33" t="s">
        <v>7</v>
      </c>
    </row>
    <row r="34" spans="1:6" x14ac:dyDescent="0.25">
      <c r="A34" t="s">
        <v>135</v>
      </c>
      <c r="C34">
        <f>0.125*0.125*3.14*3</f>
        <v>0.1471875</v>
      </c>
      <c r="D34">
        <f>C34*19</f>
        <v>2.7965624999999998</v>
      </c>
      <c r="E34" t="s">
        <v>7</v>
      </c>
    </row>
    <row r="35" spans="1:6" x14ac:dyDescent="0.25">
      <c r="D35">
        <f>SUM(D31:D34)</f>
        <v>48.436562500000001</v>
      </c>
      <c r="E35" t="s">
        <v>7</v>
      </c>
    </row>
    <row r="36" spans="1:6" x14ac:dyDescent="0.25">
      <c r="A36" s="39" t="s">
        <v>80</v>
      </c>
      <c r="B36" s="39"/>
    </row>
    <row r="37" spans="1:6" x14ac:dyDescent="0.25">
      <c r="A37" t="s">
        <v>136</v>
      </c>
      <c r="C37">
        <f>0.2*0.5</f>
        <v>0.1</v>
      </c>
      <c r="D37">
        <f>C37*68</f>
        <v>6.8000000000000007</v>
      </c>
      <c r="E37" t="s">
        <v>7</v>
      </c>
      <c r="F37">
        <f>D37+D38+D39</f>
        <v>25.400000000000002</v>
      </c>
    </row>
    <row r="38" spans="1:6" x14ac:dyDescent="0.25">
      <c r="A38" t="s">
        <v>137</v>
      </c>
      <c r="C38">
        <f>0.2*0.6</f>
        <v>0.12</v>
      </c>
      <c r="D38">
        <f>C38*75</f>
        <v>9</v>
      </c>
      <c r="E38" t="s">
        <v>7</v>
      </c>
    </row>
    <row r="39" spans="1:6" x14ac:dyDescent="0.25">
      <c r="A39" t="s">
        <v>138</v>
      </c>
      <c r="C39">
        <f>0.2*0.4</f>
        <v>8.0000000000000016E-2</v>
      </c>
      <c r="D39">
        <f>C39*(120)</f>
        <v>9.6000000000000014</v>
      </c>
      <c r="E39" t="s">
        <v>7</v>
      </c>
    </row>
    <row r="40" spans="1:6" x14ac:dyDescent="0.25">
      <c r="A40" t="s">
        <v>132</v>
      </c>
      <c r="C40">
        <f>0.25*0.4</f>
        <v>0.1</v>
      </c>
      <c r="D40">
        <f>240*0.25*0.4</f>
        <v>24</v>
      </c>
      <c r="E40" t="s">
        <v>7</v>
      </c>
    </row>
    <row r="41" spans="1:6" x14ac:dyDescent="0.25">
      <c r="D41">
        <f>SUM(D37:D40)</f>
        <v>49.400000000000006</v>
      </c>
    </row>
    <row r="42" spans="1:6" x14ac:dyDescent="0.25">
      <c r="A42" s="34" t="s">
        <v>139</v>
      </c>
    </row>
    <row r="43" spans="1:6" x14ac:dyDescent="0.25">
      <c r="A43">
        <f>489.16-(0.6+0.5+0.4)*75+(0.4*45)</f>
        <v>394.66</v>
      </c>
    </row>
    <row r="44" spans="1:6" x14ac:dyDescent="0.25">
      <c r="A44">
        <f>A43-240*0.25</f>
        <v>334.66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</vt:lpstr>
      <vt:lpstr>MEMORIA DE CALCULO01</vt:lpstr>
      <vt:lpstr>CRONOGRAMA</vt:lpstr>
      <vt:lpstr>MEMORIA DE CALCULO</vt:lpstr>
      <vt:lpstr>'MEMORIA DE CALCULO01'!Area_de_impressao</vt:lpstr>
      <vt:lpstr>ORÇAMENTO!Area_de_impressao</vt:lpstr>
      <vt:lpstr>'MEMORIA DE CALCULO01'!Titulos_de_impressao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TRIBUTARIO</cp:lastModifiedBy>
  <cp:lastPrinted>2024-03-07T17:22:32Z</cp:lastPrinted>
  <dcterms:created xsi:type="dcterms:W3CDTF">2021-06-22T18:21:41Z</dcterms:created>
  <dcterms:modified xsi:type="dcterms:W3CDTF">2024-04-10T15:22:01Z</dcterms:modified>
</cp:coreProperties>
</file>